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2023" sheetId="1" r:id="rId1"/>
  </sheets>
  <definedNames>
    <definedName name="_xlnm._FilterDatabase" localSheetId="0" hidden="1">'2023'!$A$12:$H$541</definedName>
    <definedName name="_xlnm.Print_Titles" localSheetId="0">'2023'!$12:$12</definedName>
    <definedName name="_xlnm.Print_Area" localSheetId="0">'2023'!$A$1:$H$648</definedName>
  </definedNames>
  <calcPr fullCalcOnLoad="1"/>
</workbook>
</file>

<file path=xl/comments1.xml><?xml version="1.0" encoding="utf-8"?>
<comments xmlns="http://schemas.openxmlformats.org/spreadsheetml/2006/main">
  <authors>
    <author>KOMPPLUS-05-18</author>
  </authors>
  <commentList>
    <comment ref="D395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114м2  карета
</t>
        </r>
      </text>
    </comment>
    <comment ref="D14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115м2-АТБ+242м2 квітник біля магазину"Цукерня"</t>
        </r>
      </text>
    </comment>
  </commentList>
</comments>
</file>

<file path=xl/sharedStrings.xml><?xml version="1.0" encoding="utf-8"?>
<sst xmlns="http://schemas.openxmlformats.org/spreadsheetml/2006/main" count="1863" uniqueCount="428">
  <si>
    <t>1.</t>
  </si>
  <si>
    <t>м</t>
  </si>
  <si>
    <t>м2</t>
  </si>
  <si>
    <t>2.</t>
  </si>
  <si>
    <t>I I I</t>
  </si>
  <si>
    <t xml:space="preserve">I </t>
  </si>
  <si>
    <t>щоденно</t>
  </si>
  <si>
    <t>1раз на тиждень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</si>
  <si>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</si>
  <si>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</si>
  <si>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</si>
  <si>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</si>
  <si>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</si>
  <si>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</si>
  <si>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</si>
  <si>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</si>
  <si>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</si>
  <si>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</si>
  <si>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</si>
  <si>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</si>
  <si>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</si>
  <si>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</si>
  <si>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</si>
  <si>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</si>
  <si>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</si>
  <si>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</si>
  <si>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Вулиця № 13 МПЗ</t>
  </si>
  <si>
    <t>21.</t>
  </si>
  <si>
    <t>22.</t>
  </si>
  <si>
    <t>23.</t>
  </si>
  <si>
    <t>24.</t>
  </si>
  <si>
    <t>25.</t>
  </si>
  <si>
    <t>26.</t>
  </si>
  <si>
    <t>28.</t>
  </si>
  <si>
    <t>29.</t>
  </si>
  <si>
    <t>Теріторія біля " Кургану"</t>
  </si>
  <si>
    <t>30.</t>
  </si>
  <si>
    <t>Примітка:</t>
  </si>
  <si>
    <t>шт/м2</t>
  </si>
  <si>
    <t>Бульвар "Шкільний"</t>
  </si>
  <si>
    <t>Бульвар "Шевченка"</t>
  </si>
  <si>
    <t>3 рази на тиждень</t>
  </si>
  <si>
    <t>2 рази на тиждень</t>
  </si>
  <si>
    <t>31.</t>
  </si>
  <si>
    <t>32.</t>
  </si>
  <si>
    <t>33.</t>
  </si>
  <si>
    <t>1 раз на тиждень</t>
  </si>
  <si>
    <t>2рази на тиждень</t>
  </si>
  <si>
    <t>2 рази на рік</t>
  </si>
  <si>
    <t>Шумозахисна  смуга  МПЗ</t>
  </si>
  <si>
    <t>1 раз на місяць</t>
  </si>
  <si>
    <t>у зимовий період</t>
  </si>
  <si>
    <t>за необхідністю</t>
  </si>
  <si>
    <t>І І</t>
  </si>
  <si>
    <t>прибирання доріжок від пухкого  снігу</t>
  </si>
  <si>
    <t>пішохідні  доріжки (підмітання)</t>
  </si>
  <si>
    <t>"кармани" (підмітання)</t>
  </si>
  <si>
    <t>газони, розарії, доріжки (збір сміття)</t>
  </si>
  <si>
    <t>вуличні газони, доріжки (збір сміття)</t>
  </si>
  <si>
    <t>вуличні газони (збір сміття)</t>
  </si>
  <si>
    <t>вуличні  газони ( збір сміття)</t>
  </si>
  <si>
    <t>пішохідні  доріжки ( підмітання)</t>
  </si>
  <si>
    <t>"кармани"(підмітання)</t>
  </si>
  <si>
    <t>вуличні газони, розарії, доріжки (збір сміття)</t>
  </si>
  <si>
    <t>зупинки ( підмітання)</t>
  </si>
  <si>
    <t>вуличні газони,  доріжки (збір сміття)</t>
  </si>
  <si>
    <t>вуличні  газони,  доріжки ( збір сміття)</t>
  </si>
  <si>
    <t>"п’ятачок" ( підмітання)</t>
  </si>
  <si>
    <t>вуличні  газони, розарії, доріжки, "п’ятачок" ( збір сміття)</t>
  </si>
  <si>
    <t>"кармани" ( підмітання)</t>
  </si>
  <si>
    <t>газони, квітники, доріжки, дорога (збір сміття)</t>
  </si>
  <si>
    <t>газони, розарії, квітники, доріжки, дорога (збір сміття)</t>
  </si>
  <si>
    <t>2 раз на тиждень</t>
  </si>
  <si>
    <t>шт./м2</t>
  </si>
  <si>
    <t>2/9,6</t>
  </si>
  <si>
    <t>3/14,4</t>
  </si>
  <si>
    <t>площа  під  і  біля  лав (підмітання)</t>
  </si>
  <si>
    <t>18/86,4</t>
  </si>
  <si>
    <t>7/33,6</t>
  </si>
  <si>
    <t>610х2</t>
  </si>
  <si>
    <t>697,5х2</t>
  </si>
  <si>
    <t>в т. ч.:  дорога (підмітання)</t>
  </si>
  <si>
    <t>дорога, зупинка, пішохідні  доріжки (підмітання)</t>
  </si>
  <si>
    <t>пішохідні  доріжки,  сходи (підмітання)</t>
  </si>
  <si>
    <t xml:space="preserve">          - сходи (підмітання)</t>
  </si>
  <si>
    <t>площа проїжджої частини, пішохідні доріжки (підмітання)</t>
  </si>
  <si>
    <t>в т.ч.: площа проїжджої частини (підмітання)</t>
  </si>
  <si>
    <t>площа проїжджої частини, пішохідні доріжки, сходи (підмітання)</t>
  </si>
  <si>
    <t xml:space="preserve"> - пішохідні  доріжки (підмітання)</t>
  </si>
  <si>
    <t xml:space="preserve"> - сходи (підмітання)</t>
  </si>
  <si>
    <t xml:space="preserve">  - пішохідні  доріжки (підмітання)</t>
  </si>
  <si>
    <t xml:space="preserve">   - сходи (підмітання)</t>
  </si>
  <si>
    <t>сходи уборка от снега</t>
  </si>
  <si>
    <t>скол льда 20%</t>
  </si>
  <si>
    <t>урни щоденно</t>
  </si>
  <si>
    <t>сходи  78,5 м2</t>
  </si>
  <si>
    <t>Газон  між Паркова, 6 та Паркова,2</t>
  </si>
  <si>
    <t>39.</t>
  </si>
  <si>
    <t>по необхідності</t>
  </si>
  <si>
    <t>41.</t>
  </si>
  <si>
    <t>42.</t>
  </si>
  <si>
    <t>1 раз в квартал</t>
  </si>
  <si>
    <t>газон ( збір сміття)</t>
  </si>
  <si>
    <t>Клас тери-торії</t>
  </si>
  <si>
    <t xml:space="preserve">Пристанційна  площа залізничної станції </t>
  </si>
  <si>
    <t>вуличні  газони, розарії, доріжки, квітники,спорт.майданчик (збір сміття)</t>
  </si>
  <si>
    <t>шт./м3</t>
  </si>
  <si>
    <t>4/5,85</t>
  </si>
  <si>
    <t>2/0,256</t>
  </si>
  <si>
    <t>36/15,2</t>
  </si>
  <si>
    <t>10/1,92</t>
  </si>
  <si>
    <t>9/9,71</t>
  </si>
  <si>
    <t>17/11,9</t>
  </si>
  <si>
    <t>7/6,6</t>
  </si>
  <si>
    <t>34/22,09</t>
  </si>
  <si>
    <t>10/4,03</t>
  </si>
  <si>
    <t>7/1,2</t>
  </si>
  <si>
    <t>15/4,91</t>
  </si>
  <si>
    <t>13/3,7</t>
  </si>
  <si>
    <t>Вулиця Південна (№ 11) МПЗ</t>
  </si>
  <si>
    <t xml:space="preserve">Вулиця  Гардова (№ 17) МПЗ </t>
  </si>
  <si>
    <t xml:space="preserve">Вулиця  Садова (№ 18) МПЗ </t>
  </si>
  <si>
    <t xml:space="preserve">Вулиця  Козацька (№ 19) МПЗ </t>
  </si>
  <si>
    <t xml:space="preserve">Вулиця  Центральна (№ 20) МПЗ </t>
  </si>
  <si>
    <t xml:space="preserve">Вулиця  Володимірська (№ 21) МПЗ </t>
  </si>
  <si>
    <t xml:space="preserve">Вулиця  Костянтинівська (№ 22) МПЗ </t>
  </si>
  <si>
    <t xml:space="preserve">Вулиця  Костянтинівська (№ 24) МПЗ </t>
  </si>
  <si>
    <t xml:space="preserve">Вулиця  Степова (№ 25) МПЗ </t>
  </si>
  <si>
    <t>1раз в місяць</t>
  </si>
  <si>
    <t xml:space="preserve">3 рази на тиждень </t>
  </si>
  <si>
    <t>Будівництво  скверу  на честь  Т. Г. Шевченка у  5-ому  мікрорайоні м. Южноукраїнська</t>
  </si>
  <si>
    <t>площа  спуску, оглядових майданчиків (підмітання)</t>
  </si>
  <si>
    <t>1/4,8</t>
  </si>
  <si>
    <t>34.</t>
  </si>
  <si>
    <t>35.</t>
  </si>
  <si>
    <t>Територія 4-го кварталу</t>
  </si>
  <si>
    <t>2 рази на сезон</t>
  </si>
  <si>
    <t>Шумозахисна  смуга вздовж траси №12</t>
  </si>
  <si>
    <t>36.</t>
  </si>
  <si>
    <t>Траса №12</t>
  </si>
  <si>
    <t>1 раз на  місяць</t>
  </si>
  <si>
    <t>27.</t>
  </si>
  <si>
    <t>37.</t>
  </si>
  <si>
    <t>17.</t>
  </si>
  <si>
    <t>5 разів на сезон</t>
  </si>
  <si>
    <t>4 рази на сезон</t>
  </si>
  <si>
    <t>1 раз на два тижні</t>
  </si>
  <si>
    <t>3  рази на тиждень</t>
  </si>
  <si>
    <t xml:space="preserve">3 рази на сезон </t>
  </si>
  <si>
    <t>Площа території, згідно паспортів та рішення виконкому</t>
  </si>
  <si>
    <t>прибирання доріжок від пухкого снігу</t>
  </si>
  <si>
    <t>посипання доріжок ПГС</t>
  </si>
  <si>
    <t>дорога</t>
  </si>
  <si>
    <t>дорога+в’їзди (підмітання)</t>
  </si>
  <si>
    <t>" карман" (підмітання)</t>
  </si>
  <si>
    <t>" карман" та дорога (збір сміття)</t>
  </si>
  <si>
    <t>пішохідні доріжки (підмітання)</t>
  </si>
  <si>
    <t>викіс  газонів</t>
  </si>
  <si>
    <t>дорога+в’їзди (збір сміття)</t>
  </si>
  <si>
    <t>пішохідні доріжки(підмітання)</t>
  </si>
  <si>
    <t>дорога (підмітання)</t>
  </si>
  <si>
    <t>дорога (збір сміття)</t>
  </si>
  <si>
    <t>розгалуження (підмітання)</t>
  </si>
  <si>
    <t>прибирання території від пухкого снігу</t>
  </si>
  <si>
    <t>посипання зупинок ПГС</t>
  </si>
  <si>
    <t>прибирання зупинок від пухкого снігу</t>
  </si>
  <si>
    <t>урни (очищення від сміття)</t>
  </si>
  <si>
    <t>площа під і біля лав (підмітання)</t>
  </si>
  <si>
    <t>дорога + в’їзди (підмітання)</t>
  </si>
  <si>
    <t>зупинки (підмітання)</t>
  </si>
  <si>
    <t>" кармани"( підмітання)</t>
  </si>
  <si>
    <t>сходи (підмітання)</t>
  </si>
  <si>
    <t>викіс газонів</t>
  </si>
  <si>
    <t>"кармани"( підмітання)</t>
  </si>
  <si>
    <t xml:space="preserve">дорога (збір сміття) </t>
  </si>
  <si>
    <t>урни</t>
  </si>
  <si>
    <t>газони, квітники, доріжки (збір сміття)</t>
  </si>
  <si>
    <t>майданчик з тротуарної плитки (підмітання)</t>
  </si>
  <si>
    <t>газони, квітники, доріжки, майданчик (збір сміття)</t>
  </si>
  <si>
    <t>пішохідні  доріжки</t>
  </si>
  <si>
    <t>туалет (прибирання)</t>
  </si>
  <si>
    <t>доріжка  та  сходи (підмітання)</t>
  </si>
  <si>
    <t>газони ( у т. ч. пісок) збір сміття</t>
  </si>
  <si>
    <t>пішохідні  доріжки ( щебінь)</t>
  </si>
  <si>
    <t>Один. вимір</t>
  </si>
  <si>
    <t>№ п/п</t>
  </si>
  <si>
    <t>Періодичність прибирання</t>
  </si>
  <si>
    <t>%</t>
  </si>
  <si>
    <t>об'єм</t>
  </si>
  <si>
    <t>І</t>
  </si>
  <si>
    <t>вуличні  газони,  доріжки, розарії, квітники (збір сміття)</t>
  </si>
  <si>
    <t>вуличні  газони, доріжки  (збір сміття)</t>
  </si>
  <si>
    <t>вуличні  газони, пішохідні доріжки (збір сміття)</t>
  </si>
  <si>
    <t>500х2</t>
  </si>
  <si>
    <t xml:space="preserve">I I </t>
  </si>
  <si>
    <t>пристанційна  площа (збір сміття)</t>
  </si>
  <si>
    <t>вуличні  газони, розарії, доріжки, квітники (збір сміття)</t>
  </si>
  <si>
    <t>1446,3х2</t>
  </si>
  <si>
    <t>вуличні  газони, доріжки ( збір сміття)</t>
  </si>
  <si>
    <t>Дорога Богданівка - Костянтинівка</t>
  </si>
  <si>
    <t>в т. ч.: пішохідні  доріжки (підмітання)</t>
  </si>
  <si>
    <t>пішохідні  доріжки, брущатка (підмітання)</t>
  </si>
  <si>
    <t>в т.ч. : пішохідні  доріжки (підмітання)</t>
  </si>
  <si>
    <t xml:space="preserve">          - брущатка (підмітання)</t>
  </si>
  <si>
    <t>в т.ч. :  площа  спуску ( підмітання)</t>
  </si>
  <si>
    <t>900м2 дер.</t>
  </si>
  <si>
    <t>викіс газонів, в тому числі:</t>
  </si>
  <si>
    <t xml:space="preserve"> - газони </t>
  </si>
  <si>
    <t xml:space="preserve"> - посадка </t>
  </si>
  <si>
    <t>1474,5м2  - город, 858 м2 - в селе  84 дерева отнято</t>
  </si>
  <si>
    <t>прибирання доріжок від пухкого снігу мотоблоками</t>
  </si>
  <si>
    <t>38.</t>
  </si>
  <si>
    <t>Теріторія гори "Пугач"</t>
  </si>
  <si>
    <t>газони( збір сміття)</t>
  </si>
  <si>
    <t>I І І</t>
  </si>
  <si>
    <t>прибирання сходів від пухкого снігу</t>
  </si>
  <si>
    <t>прибирання сходи від пухкого снігу</t>
  </si>
  <si>
    <t xml:space="preserve">  - сходи (підмітання)</t>
  </si>
  <si>
    <t>прибирання сходів  від пухкого снігу</t>
  </si>
  <si>
    <t>пристанційна  площа (підмітання)</t>
  </si>
  <si>
    <t>дорога ( підмітання)</t>
  </si>
  <si>
    <t>5/24,0</t>
  </si>
  <si>
    <t>прибирання дорожніх переходів від снігу</t>
  </si>
  <si>
    <t>52/28,5</t>
  </si>
  <si>
    <t>42/22,4</t>
  </si>
  <si>
    <t>5/6,32</t>
  </si>
  <si>
    <t>1 раз на тиждень в зимовий період, 2 рази на тиждень в літній період</t>
  </si>
  <si>
    <t xml:space="preserve">   - зупинка (підмітання)</t>
  </si>
  <si>
    <t>щоденно в період роботи пляжу</t>
  </si>
  <si>
    <t>1 раз в місяць в зимовий період, щоденно в період роботи пляжу</t>
  </si>
  <si>
    <t xml:space="preserve">Вулиця   Молодіжна </t>
  </si>
  <si>
    <t>посипання сходів ПГС</t>
  </si>
  <si>
    <t>прибирання доріжки та сходів від пухкого снігу</t>
  </si>
  <si>
    <t>прибирання спуску від пухкого  снігу</t>
  </si>
  <si>
    <t>змітання снігу з лавок</t>
  </si>
  <si>
    <t>шт</t>
  </si>
  <si>
    <t>1 раз на квартал</t>
  </si>
  <si>
    <t>газони (збір сміття)</t>
  </si>
  <si>
    <t>Вулиця Гідробудівників (№ 16) МПЗ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</si>
  <si>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</si>
  <si>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</si>
  <si>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</si>
  <si>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</si>
  <si>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</si>
  <si>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</si>
  <si>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</si>
  <si>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</si>
  <si>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</si>
  <si>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(2745*0,6)</t>
  </si>
  <si>
    <t>(722*0,6)</t>
  </si>
  <si>
    <t>(461*0,6)</t>
  </si>
  <si>
    <t>(1220*0,6)</t>
  </si>
  <si>
    <t>(1395*0,6)</t>
  </si>
  <si>
    <t>(761,8*0,6)</t>
  </si>
  <si>
    <t xml:space="preserve">дорога  (збір сміття) </t>
  </si>
  <si>
    <t>(1000*0,6)</t>
  </si>
  <si>
    <t>(420*0,6)</t>
  </si>
  <si>
    <t>(590*0,6)</t>
  </si>
  <si>
    <t>(636,7*0,6)</t>
  </si>
  <si>
    <t>(369,2*0,6)</t>
  </si>
  <si>
    <t>(368*0,6)</t>
  </si>
  <si>
    <t>(790*0,6)</t>
  </si>
  <si>
    <t>(658,33*0,6)</t>
  </si>
  <si>
    <t>(574,5*0,6)</t>
  </si>
  <si>
    <t>(726,67*0,6)</t>
  </si>
  <si>
    <t>(795*0,6)</t>
  </si>
  <si>
    <t>(266*0,6)</t>
  </si>
  <si>
    <t>(372*0,6)</t>
  </si>
  <si>
    <t>(81*0,6)</t>
  </si>
  <si>
    <t>1 раз в місяць</t>
  </si>
  <si>
    <t>Газон  між КЗЮМЛ та Паркова, 6</t>
  </si>
  <si>
    <t>63/302,4</t>
  </si>
  <si>
    <t>СКВЕР  №2</t>
  </si>
  <si>
    <t>СКВЕР  № 1</t>
  </si>
  <si>
    <t>газони, доріжки, брущатка, спуск, оглядові майданчики (збір  сміття)</t>
  </si>
  <si>
    <t>(1098*0,6)</t>
  </si>
  <si>
    <t>спортивний майданчик (збір смяття)</t>
  </si>
  <si>
    <t>вуличні газони, доріжки, спорт.майданчик (збір сміття)</t>
  </si>
  <si>
    <t>16/76,8</t>
  </si>
  <si>
    <t>79/379,2</t>
  </si>
  <si>
    <t>1 раз на 2 тижні</t>
  </si>
  <si>
    <t>11/52,8</t>
  </si>
  <si>
    <t>газони (посадка) збір сміття</t>
  </si>
  <si>
    <t>зупинка (підмітання)</t>
  </si>
  <si>
    <t>прибирання зупинки від пухкого снігу</t>
  </si>
  <si>
    <t>карман (підмітання)</t>
  </si>
  <si>
    <t>76/364,8</t>
  </si>
  <si>
    <t>щоденно влітку, 2 рази на тиждень взимку, 3 рази на тиждень весна, осінь</t>
  </si>
  <si>
    <t>весною</t>
  </si>
  <si>
    <t>2 рази на місяць</t>
  </si>
  <si>
    <t>очищення газонів від  листви</t>
  </si>
  <si>
    <t>спортивний майданчик (збір смітя)</t>
  </si>
  <si>
    <t>очищення газонів від листви</t>
  </si>
  <si>
    <t>асфальтобетонне замощення (збір сміття)</t>
  </si>
  <si>
    <t>(750+240+240)*0,6</t>
  </si>
  <si>
    <t>до рішення виконачого комітету</t>
  </si>
  <si>
    <t>Южноукраїнської міської ради</t>
  </si>
  <si>
    <t>обслуговування   об’єктів  благоустрію загального користування  Южноукраїнської міської територіальної громади</t>
  </si>
  <si>
    <t xml:space="preserve">Перелік та періодичність                                        </t>
  </si>
  <si>
    <t>газони (у т.ч.пісок), квітники, розарій, доріжки, площа  біля фонтану (збір сміття)</t>
  </si>
  <si>
    <t>Об’єм обслуговуючої території</t>
  </si>
  <si>
    <t>Найменування об’єктів</t>
  </si>
  <si>
    <t>мп</t>
  </si>
  <si>
    <t>восени</t>
  </si>
  <si>
    <t>восені</t>
  </si>
  <si>
    <t xml:space="preserve">очищення зливоприймача та зливоперехвата </t>
  </si>
  <si>
    <t>1раз на 2 тиждні</t>
  </si>
  <si>
    <t>у зимовий період, за необхідністю</t>
  </si>
  <si>
    <t>газон біля зупинки( збір сміття)</t>
  </si>
  <si>
    <t xml:space="preserve">1 раз на тиждень </t>
  </si>
  <si>
    <t>Вулиця  № 14 МПЗ ( від вулиці Південна до вулиці Гардова)</t>
  </si>
  <si>
    <t>Вулиця  № 15 МПЗ ( від вулиці Південна до вулиці Гардова)</t>
  </si>
  <si>
    <t xml:space="preserve">"кармани"( підмітання) </t>
  </si>
  <si>
    <t>2 рази на тиждень взимку, 3 рази на тиждень влітку, навесні, восени</t>
  </si>
  <si>
    <t>3 рази на тиждень влітку, взимку по мірі необхідності</t>
  </si>
  <si>
    <t>1 раз на тиждень влітку та навесні, восени, взимку по мірі необхідності</t>
  </si>
  <si>
    <t>щоденно влітку, 2 рази на тиждень взимку, 3 рази на тиждень восени, навесні</t>
  </si>
  <si>
    <t>у зимовий період по мірі необхідності</t>
  </si>
  <si>
    <t xml:space="preserve">Теріторія в районі вулиці 300-річчя Костянтинівки </t>
  </si>
  <si>
    <t>та вулиці Молодіжної (Берліни-Брандербурги)</t>
  </si>
  <si>
    <t>Проїзд вздовж житлового будинку по вулиці Набережна енергетиків, 5</t>
  </si>
  <si>
    <t>Газон між СЗОШ № 3  та магазином "Щедрий кошик" по вулиці Дружби народів</t>
  </si>
  <si>
    <t>5-99-73</t>
  </si>
  <si>
    <t xml:space="preserve">БОЖКО Володимир </t>
  </si>
  <si>
    <t>Проспект  Незалежності</t>
  </si>
  <si>
    <t xml:space="preserve">Вулиця Набережна  Енергетиків </t>
  </si>
  <si>
    <t>Вулиця Олімпійська</t>
  </si>
  <si>
    <t>Вулиця  Спортивна</t>
  </si>
  <si>
    <t>Вулиця Паркова</t>
  </si>
  <si>
    <t>Проспект Соборності</t>
  </si>
  <si>
    <t>Вулиця Енергобудівників</t>
  </si>
  <si>
    <t>Вулиця  Миру</t>
  </si>
  <si>
    <t>В"їзд  № 2 (вул.300-річчя Костянтинівки)</t>
  </si>
  <si>
    <t>ПАРКОВА  ЗОНА  ККС "Олімп"</t>
  </si>
  <si>
    <t>Міський  пляж</t>
  </si>
  <si>
    <t xml:space="preserve"> - площа оглядових майданчиків   (підмітання)</t>
  </si>
  <si>
    <t>газони, дорога, доріжки,зупинка, посадка (збір сміття)</t>
  </si>
  <si>
    <t>20/96</t>
  </si>
  <si>
    <t>2 рази на тиждень влітку, 2 рази на місяць весна, осінь, по мірі необхідності взимку</t>
  </si>
  <si>
    <t>Вулиця Європейська</t>
  </si>
  <si>
    <t>Вулиця Свободи</t>
  </si>
  <si>
    <t>Бульвар "Квітковий"</t>
  </si>
  <si>
    <t>Бульвар "Мрій"</t>
  </si>
  <si>
    <t xml:space="preserve">І </t>
  </si>
  <si>
    <t>навесні</t>
  </si>
  <si>
    <t xml:space="preserve">І І </t>
  </si>
  <si>
    <t>Територія  біля  АВБ, вулиця Європейська,23</t>
  </si>
  <si>
    <t xml:space="preserve">Меморіальний комплекс Захисникам Вітчизни </t>
  </si>
  <si>
    <t>смт.Костянтинівка</t>
  </si>
  <si>
    <r>
      <t>Кладовище</t>
    </r>
    <r>
      <rPr>
        <sz val="12"/>
        <rFont val="Times New Roman"/>
        <family val="1"/>
      </rPr>
      <t xml:space="preserve"> (біля селищної ради)</t>
    </r>
  </si>
  <si>
    <t>бетонна площа (підмітання)</t>
  </si>
  <si>
    <r>
      <t>Кладовище</t>
    </r>
    <r>
      <rPr>
        <sz val="12"/>
        <rFont val="Times New Roman"/>
        <family val="1"/>
      </rPr>
      <t xml:space="preserve"> (біля шахти)</t>
    </r>
  </si>
  <si>
    <t>бетонна дорога (збір сміття)</t>
  </si>
  <si>
    <t>с.Бузьке</t>
  </si>
  <si>
    <t>Кладовище</t>
  </si>
  <si>
    <t>с.Іванівка</t>
  </si>
  <si>
    <r>
      <t>Кладовище</t>
    </r>
    <r>
      <rPr>
        <sz val="12"/>
        <rFont val="Times New Roman"/>
        <family val="1"/>
      </rPr>
      <t xml:space="preserve"> (в’їзди № 1, 2)</t>
    </r>
  </si>
  <si>
    <t>1 раз на місяць (влітку)</t>
  </si>
  <si>
    <t>с.Панкратове</t>
  </si>
  <si>
    <r>
      <t>Кладовище</t>
    </r>
    <r>
      <rPr>
        <sz val="12"/>
        <rFont val="Times New Roman"/>
        <family val="1"/>
      </rPr>
      <t xml:space="preserve"> </t>
    </r>
  </si>
  <si>
    <t xml:space="preserve"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господарства. </t>
  </si>
  <si>
    <t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t>
  </si>
  <si>
    <t>Дитячий спортивний майданчик</t>
  </si>
  <si>
    <t xml:space="preserve">майданчик (збір сміття) </t>
  </si>
  <si>
    <t>Площа Соборна (дитячий майданчик)</t>
  </si>
  <si>
    <t>бетонна площадка (підмітання)</t>
  </si>
  <si>
    <t>6/57,6</t>
  </si>
  <si>
    <t>1 раз восени</t>
  </si>
  <si>
    <t>1 раз навесні</t>
  </si>
  <si>
    <t>Вулиця Петра Сагайдачного (Меморіал)</t>
  </si>
  <si>
    <t>1 рази на тиждень, взимку 1 раз на місяць</t>
  </si>
  <si>
    <t>Вулиця Вишнева (Меморіал)</t>
  </si>
  <si>
    <t>площа біля пам’ятника, газони (збір сміття)</t>
  </si>
  <si>
    <t>площа біля пам’ятника, бетонна площадка, газони (збір сміття)</t>
  </si>
  <si>
    <t>Вулиця Вишнева (Дитячий майданчик)</t>
  </si>
  <si>
    <t>пішохідні доріжки, газони (збір сміття)</t>
  </si>
  <si>
    <t>бетонна площадка, газони (збір сміття)</t>
  </si>
  <si>
    <t>прибирання пішохідних доріжок від пухкого снігу</t>
  </si>
  <si>
    <t>у зимовий період за необхідністю</t>
  </si>
  <si>
    <t>вуличні  газони, доріжки, бетоне  покриття  ( збір сміття)</t>
  </si>
  <si>
    <t xml:space="preserve">   - пішохідні  доріжки (бетон) (підмітання)</t>
  </si>
  <si>
    <t>Додаток 1</t>
  </si>
  <si>
    <t>У</t>
  </si>
  <si>
    <t>прибирання майданчику від пухкого снігу</t>
  </si>
  <si>
    <t>прибирання меморіалу від пухкого снігу</t>
  </si>
  <si>
    <t>комунальним підприємством "Служба   комунального  господарства"  у  2024 році</t>
  </si>
  <si>
    <t>Вулиця Бондаренко</t>
  </si>
  <si>
    <t>Вулиця Набережна</t>
  </si>
  <si>
    <t>викіс газонів (Дитячий майданчик)</t>
  </si>
  <si>
    <t>Вулиця Рильського</t>
  </si>
  <si>
    <t>Вулиця Шкільна</t>
  </si>
  <si>
    <t>Провулок Мирний</t>
  </si>
  <si>
    <t>Провулок Польовий</t>
  </si>
  <si>
    <t>посипання зупинок ПОМ</t>
  </si>
  <si>
    <t>очищення доріг від ПОМ</t>
  </si>
  <si>
    <t>посипання доріжок ПОМ</t>
  </si>
  <si>
    <t>посипання сходів ПОМ</t>
  </si>
  <si>
    <t>очищення дороги від ПОМ</t>
  </si>
  <si>
    <r>
      <t>(724+1267,3)*</t>
    </r>
    <r>
      <rPr>
        <b/>
        <sz val="12"/>
        <rFont val="Times New Roman"/>
        <family val="1"/>
      </rPr>
      <t>0,6</t>
    </r>
  </si>
  <si>
    <t>(1910+520)*0,6)</t>
  </si>
  <si>
    <t>прибирання доріг від ПОМ</t>
  </si>
  <si>
    <t>посипання території ПОМ</t>
  </si>
  <si>
    <t>посипання сходів зупинки  ПОМ</t>
  </si>
  <si>
    <t>I</t>
  </si>
  <si>
    <t>1 раз на тиждень влітку, 1 раз на квартал взимку, 1 рази на місяць весна, осінь</t>
  </si>
  <si>
    <t>1 раз на місяць влітку, 1 раз на квартал взимку, 1 рази на місяць весна, осінь</t>
  </si>
  <si>
    <t xml:space="preserve"> </t>
  </si>
  <si>
    <t xml:space="preserve">Кладовище </t>
  </si>
  <si>
    <t>25/120</t>
  </si>
  <si>
    <t>бетонна площа (збір сміття)</t>
  </si>
  <si>
    <t>1 раз на місяць (влітку, навесні), 1 раз на квартал (взимку)</t>
  </si>
  <si>
    <t>2 рази на місяць (влітку, навесні), 1 раз на місяць (взимку)</t>
  </si>
  <si>
    <t>зупинка (збір сміття)</t>
  </si>
  <si>
    <t>Пам’ятник ВВВ 1941-1945</t>
  </si>
  <si>
    <t>Дорога вздовж ОСТ "Бузьке"</t>
  </si>
  <si>
    <t xml:space="preserve">дорога </t>
  </si>
  <si>
    <t>3 рази на сезон</t>
  </si>
  <si>
    <t xml:space="preserve">1 раз на місяць </t>
  </si>
  <si>
    <t>посипання меморіалу ПОМ</t>
  </si>
  <si>
    <t>1 раз восени та за  необхідністю</t>
  </si>
  <si>
    <t>1 раз навесні та за необхідністю</t>
  </si>
  <si>
    <t>1 раз восени та за необхідністю</t>
  </si>
  <si>
    <t>посипання майданчику ПОМ</t>
  </si>
  <si>
    <t>посипання спуску ПОМ</t>
  </si>
  <si>
    <t>очищення пішохідних доріжок та спуску від ПОМ</t>
  </si>
  <si>
    <t>2. Періодичність прибирання територій та викіс трави може коригуватися за погодженням з управлінням житлово-комунальним господарствам Южноукраїнської міської ради</t>
  </si>
  <si>
    <t xml:space="preserve">          Перший заступник міського голови                                                                                                                Микола ПОКРОВА</t>
  </si>
  <si>
    <t>від "_13___"_03___ 2024 № _119______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</si>
</sst>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7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42" applyNumberFormat="1" applyFont="1" applyAlignment="1">
      <alignment horizontal="left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" fontId="9" fillId="0" borderId="11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196" fontId="9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9" fontId="9" fillId="0" borderId="11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196" fontId="9" fillId="0" borderId="16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left" vertical="center" wrapText="1"/>
    </xf>
    <xf numFmtId="9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9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9" fontId="9" fillId="0" borderId="16" xfId="0" applyNumberFormat="1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quotePrefix="1">
      <alignment horizontal="left" vertical="center" wrapText="1"/>
    </xf>
    <xf numFmtId="9" fontId="9" fillId="0" borderId="16" xfId="0" applyNumberFormat="1" applyFont="1" applyFill="1" applyBorder="1" applyAlignment="1">
      <alignment/>
    </xf>
    <xf numFmtId="9" fontId="9" fillId="0" borderId="11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9" fontId="9" fillId="0" borderId="1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1" fontId="9" fillId="0" borderId="11" xfId="0" applyNumberFormat="1" applyFont="1" applyBorder="1" applyAlignment="1">
      <alignment vertical="center"/>
    </xf>
    <xf numFmtId="196" fontId="9" fillId="0" borderId="16" xfId="0" applyNumberFormat="1" applyFont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vertical="center"/>
    </xf>
    <xf numFmtId="1" fontId="9" fillId="0" borderId="11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 quotePrefix="1">
      <alignment horizontal="left" vertical="center" wrapText="1"/>
    </xf>
    <xf numFmtId="0" fontId="9" fillId="0" borderId="34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 quotePrefix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Fill="1" applyBorder="1" applyAlignment="1" quotePrefix="1">
      <alignment horizontal="left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9" fontId="9" fillId="0" borderId="47" xfId="55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9" fontId="9" fillId="0" borderId="35" xfId="55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9" fillId="0" borderId="29" xfId="0" applyNumberFormat="1" applyFont="1" applyBorder="1" applyAlignment="1">
      <alignment horizontal="right" vertical="center"/>
    </xf>
    <xf numFmtId="1" fontId="9" fillId="0" borderId="34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9" fillId="0" borderId="29" xfId="0" applyNumberFormat="1" applyFont="1" applyBorder="1" applyAlignment="1">
      <alignment horizontal="center" vertical="center"/>
    </xf>
    <xf numFmtId="0" fontId="9" fillId="0" borderId="35" xfId="0" applyFont="1" applyBorder="1" applyAlignment="1" quotePrefix="1">
      <alignment horizontal="left" vertical="center" wrapText="1"/>
    </xf>
    <xf numFmtId="0" fontId="9" fillId="0" borderId="47" xfId="0" applyFont="1" applyBorder="1" applyAlignment="1" quotePrefix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9" fillId="0" borderId="30" xfId="0" applyFont="1" applyBorder="1" applyAlignment="1">
      <alignment/>
    </xf>
    <xf numFmtId="0" fontId="8" fillId="0" borderId="32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/>
    </xf>
    <xf numFmtId="9" fontId="9" fillId="0" borderId="16" xfId="0" applyNumberFormat="1" applyFont="1" applyBorder="1" applyAlignment="1">
      <alignment vertical="center"/>
    </xf>
    <xf numFmtId="9" fontId="9" fillId="0" borderId="10" xfId="0" applyNumberFormat="1" applyFont="1" applyBorder="1" applyAlignment="1">
      <alignment/>
    </xf>
    <xf numFmtId="0" fontId="9" fillId="0" borderId="49" xfId="0" applyFont="1" applyBorder="1" applyAlignment="1" quotePrefix="1">
      <alignment horizontal="left" vertical="center" wrapText="1"/>
    </xf>
    <xf numFmtId="0" fontId="9" fillId="0" borderId="35" xfId="0" applyFont="1" applyBorder="1" applyAlignment="1">
      <alignment horizontal="justify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justify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9" fontId="9" fillId="0" borderId="4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96" fontId="9" fillId="0" borderId="11" xfId="0" applyNumberFormat="1" applyFont="1" applyBorder="1" applyAlignment="1">
      <alignment horizontal="right" vertical="center"/>
    </xf>
    <xf numFmtId="196" fontId="9" fillId="0" borderId="19" xfId="0" applyNumberFormat="1" applyFont="1" applyBorder="1" applyAlignment="1">
      <alignment/>
    </xf>
    <xf numFmtId="196" fontId="9" fillId="0" borderId="10" xfId="0" applyNumberFormat="1" applyFont="1" applyBorder="1" applyAlignment="1">
      <alignment horizontal="right" vertical="center"/>
    </xf>
    <xf numFmtId="196" fontId="9" fillId="0" borderId="10" xfId="0" applyNumberFormat="1" applyFont="1" applyBorder="1" applyAlignment="1">
      <alignment/>
    </xf>
    <xf numFmtId="0" fontId="9" fillId="32" borderId="36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/>
    </xf>
    <xf numFmtId="0" fontId="9" fillId="32" borderId="35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/>
    </xf>
    <xf numFmtId="0" fontId="9" fillId="32" borderId="4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4" xfId="0" applyFont="1" applyFill="1" applyBorder="1" applyAlignment="1">
      <alignment horizontal="left" vertical="center" wrapText="1"/>
    </xf>
    <xf numFmtId="196" fontId="9" fillId="0" borderId="40" xfId="0" applyNumberFormat="1" applyFont="1" applyBorder="1" applyAlignment="1">
      <alignment horizontal="right" vertical="center"/>
    </xf>
    <xf numFmtId="196" fontId="9" fillId="0" borderId="16" xfId="0" applyNumberFormat="1" applyFont="1" applyBorder="1" applyAlignment="1">
      <alignment horizontal="right" vertical="center"/>
    </xf>
    <xf numFmtId="196" fontId="9" fillId="0" borderId="21" xfId="0" applyNumberFormat="1" applyFont="1" applyBorder="1" applyAlignment="1">
      <alignment horizontal="right" vertical="center"/>
    </xf>
    <xf numFmtId="196" fontId="9" fillId="0" borderId="11" xfId="0" applyNumberFormat="1" applyFont="1" applyFill="1" applyBorder="1" applyAlignment="1">
      <alignment horizontal="right" vertical="center"/>
    </xf>
    <xf numFmtId="196" fontId="9" fillId="0" borderId="21" xfId="0" applyNumberFormat="1" applyFont="1" applyFill="1" applyBorder="1" applyAlignment="1">
      <alignment horizontal="right" vertical="center"/>
    </xf>
    <xf numFmtId="196" fontId="9" fillId="0" borderId="19" xfId="0" applyNumberFormat="1" applyFont="1" applyFill="1" applyBorder="1" applyAlignment="1">
      <alignment horizontal="right" vertical="center"/>
    </xf>
    <xf numFmtId="196" fontId="9" fillId="0" borderId="40" xfId="0" applyNumberFormat="1" applyFont="1" applyFill="1" applyBorder="1" applyAlignment="1">
      <alignment horizontal="right" vertical="center"/>
    </xf>
    <xf numFmtId="196" fontId="9" fillId="0" borderId="16" xfId="0" applyNumberFormat="1" applyFont="1" applyFill="1" applyBorder="1" applyAlignment="1">
      <alignment horizontal="right" vertical="center"/>
    </xf>
    <xf numFmtId="196" fontId="9" fillId="0" borderId="16" xfId="0" applyNumberFormat="1" applyFont="1" applyFill="1" applyBorder="1" applyAlignment="1">
      <alignment/>
    </xf>
    <xf numFmtId="196" fontId="9" fillId="32" borderId="16" xfId="0" applyNumberFormat="1" applyFont="1" applyFill="1" applyBorder="1" applyAlignment="1">
      <alignment horizontal="right" vertical="center"/>
    </xf>
    <xf numFmtId="196" fontId="9" fillId="0" borderId="23" xfId="0" applyNumberFormat="1" applyFont="1" applyBorder="1" applyAlignment="1">
      <alignment horizontal="right" vertical="center"/>
    </xf>
    <xf numFmtId="196" fontId="9" fillId="32" borderId="11" xfId="0" applyNumberFormat="1" applyFont="1" applyFill="1" applyBorder="1" applyAlignment="1">
      <alignment horizontal="right" vertical="center"/>
    </xf>
    <xf numFmtId="196" fontId="9" fillId="32" borderId="10" xfId="0" applyNumberFormat="1" applyFont="1" applyFill="1" applyBorder="1" applyAlignment="1">
      <alignment horizontal="right" vertical="center"/>
    </xf>
    <xf numFmtId="196" fontId="9" fillId="0" borderId="40" xfId="0" applyNumberFormat="1" applyFont="1" applyBorder="1" applyAlignment="1">
      <alignment vertical="center"/>
    </xf>
    <xf numFmtId="196" fontId="9" fillId="32" borderId="11" xfId="0" applyNumberFormat="1" applyFont="1" applyFill="1" applyBorder="1" applyAlignment="1">
      <alignment/>
    </xf>
    <xf numFmtId="196" fontId="9" fillId="32" borderId="11" xfId="0" applyNumberFormat="1" applyFont="1" applyFill="1" applyBorder="1" applyAlignment="1">
      <alignment vertical="center"/>
    </xf>
    <xf numFmtId="196" fontId="9" fillId="0" borderId="11" xfId="0" applyNumberFormat="1" applyFont="1" applyFill="1" applyBorder="1" applyAlignment="1">
      <alignment/>
    </xf>
    <xf numFmtId="196" fontId="9" fillId="0" borderId="16" xfId="0" applyNumberFormat="1" applyFont="1" applyFill="1" applyBorder="1" applyAlignment="1">
      <alignment vertical="center"/>
    </xf>
    <xf numFmtId="196" fontId="9" fillId="0" borderId="11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10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 quotePrefix="1">
      <alignment horizontal="center"/>
    </xf>
    <xf numFmtId="0" fontId="9" fillId="0" borderId="52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/>
    </xf>
    <xf numFmtId="9" fontId="9" fillId="0" borderId="40" xfId="55" applyFont="1" applyFill="1" applyBorder="1" applyAlignment="1">
      <alignment horizontal="left" vertical="center"/>
    </xf>
    <xf numFmtId="9" fontId="9" fillId="0" borderId="5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 quotePrefix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/>
    </xf>
    <xf numFmtId="0" fontId="9" fillId="0" borderId="35" xfId="0" applyFont="1" applyFill="1" applyBorder="1" applyAlignment="1" quotePrefix="1">
      <alignment horizontal="left" vertical="center" wrapText="1"/>
    </xf>
    <xf numFmtId="0" fontId="9" fillId="0" borderId="16" xfId="0" applyFont="1" applyFill="1" applyBorder="1" applyAlignment="1">
      <alignment vertical="center"/>
    </xf>
    <xf numFmtId="9" fontId="9" fillId="0" borderId="16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/>
    </xf>
    <xf numFmtId="196" fontId="9" fillId="0" borderId="10" xfId="0" applyNumberFormat="1" applyFont="1" applyFill="1" applyBorder="1" applyAlignment="1">
      <alignment/>
    </xf>
    <xf numFmtId="0" fontId="8" fillId="0" borderId="56" xfId="0" applyFont="1" applyFill="1" applyBorder="1" applyAlignment="1">
      <alignment horizontal="left" vertical="center"/>
    </xf>
    <xf numFmtId="9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right" vertical="center"/>
    </xf>
    <xf numFmtId="196" fontId="9" fillId="0" borderId="19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196" fontId="9" fillId="0" borderId="40" xfId="0" applyNumberFormat="1" applyFont="1" applyFill="1" applyBorder="1" applyAlignment="1">
      <alignment/>
    </xf>
    <xf numFmtId="9" fontId="9" fillId="0" borderId="4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196" fontId="9" fillId="0" borderId="23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right"/>
    </xf>
    <xf numFmtId="1" fontId="9" fillId="0" borderId="19" xfId="0" applyNumberFormat="1" applyFont="1" applyFill="1" applyBorder="1" applyAlignment="1">
      <alignment/>
    </xf>
    <xf numFmtId="0" fontId="9" fillId="0" borderId="58" xfId="0" applyFont="1" applyFill="1" applyBorder="1" applyAlignment="1">
      <alignment horizontal="center" vertical="center"/>
    </xf>
    <xf numFmtId="0" fontId="9" fillId="0" borderId="33" xfId="0" applyFont="1" applyFill="1" applyBorder="1" applyAlignment="1" quotePrefix="1">
      <alignment horizontal="lef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59" xfId="0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/>
    </xf>
    <xf numFmtId="0" fontId="9" fillId="0" borderId="6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quotePrefix="1">
      <alignment horizontal="left" vertical="center" wrapText="1"/>
    </xf>
    <xf numFmtId="196" fontId="9" fillId="0" borderId="47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/>
    </xf>
    <xf numFmtId="0" fontId="9" fillId="0" borderId="61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vertical="center"/>
    </xf>
    <xf numFmtId="196" fontId="9" fillId="0" borderId="40" xfId="0" applyNumberFormat="1" applyFont="1" applyFill="1" applyBorder="1" applyAlignment="1">
      <alignment vertical="center"/>
    </xf>
    <xf numFmtId="9" fontId="9" fillId="0" borderId="4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56" xfId="0" applyFont="1" applyFill="1" applyBorder="1" applyAlignment="1" quotePrefix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/>
    </xf>
    <xf numFmtId="9" fontId="9" fillId="0" borderId="21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left" vertical="center"/>
    </xf>
    <xf numFmtId="1" fontId="9" fillId="0" borderId="40" xfId="0" applyNumberFormat="1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/>
    </xf>
    <xf numFmtId="9" fontId="9" fillId="0" borderId="2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196" fontId="9" fillId="0" borderId="2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/>
    </xf>
    <xf numFmtId="9" fontId="9" fillId="0" borderId="19" xfId="0" applyNumberFormat="1" applyFont="1" applyFill="1" applyBorder="1" applyAlignment="1">
      <alignment horizontal="center"/>
    </xf>
    <xf numFmtId="0" fontId="9" fillId="0" borderId="64" xfId="0" applyFont="1" applyFill="1" applyBorder="1" applyAlignment="1">
      <alignment horizontal="left" vertical="center" wrapText="1"/>
    </xf>
    <xf numFmtId="196" fontId="9" fillId="0" borderId="29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/>
    </xf>
    <xf numFmtId="1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/>
    </xf>
    <xf numFmtId="9" fontId="9" fillId="0" borderId="0" xfId="0" applyNumberFormat="1" applyFont="1" applyFill="1" applyAlignment="1">
      <alignment horizontal="center"/>
    </xf>
    <xf numFmtId="9" fontId="9" fillId="0" borderId="16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 quotePrefix="1">
      <alignment horizontal="left" vertical="center" wrapText="1"/>
    </xf>
    <xf numFmtId="0" fontId="9" fillId="0" borderId="33" xfId="0" applyFont="1" applyFill="1" applyBorder="1" applyAlignment="1" quotePrefix="1">
      <alignment horizontal="left" vertical="center" wrapText="1"/>
    </xf>
    <xf numFmtId="0" fontId="9" fillId="0" borderId="16" xfId="0" applyFont="1" applyFill="1" applyBorder="1" applyAlignment="1">
      <alignment/>
    </xf>
    <xf numFmtId="196" fontId="9" fillId="0" borderId="16" xfId="0" applyNumberFormat="1" applyFont="1" applyFill="1" applyBorder="1" applyAlignment="1">
      <alignment/>
    </xf>
    <xf numFmtId="9" fontId="9" fillId="0" borderId="11" xfId="0" applyNumberFormat="1" applyFont="1" applyFill="1" applyBorder="1" applyAlignment="1">
      <alignment horizontal="center" vertical="center"/>
    </xf>
    <xf numFmtId="17" fontId="9" fillId="0" borderId="16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/>
    </xf>
    <xf numFmtId="0" fontId="9" fillId="0" borderId="0" xfId="0" applyFont="1" applyFill="1" applyAlignment="1" quotePrefix="1">
      <alignment horizontal="left"/>
    </xf>
    <xf numFmtId="0" fontId="9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9" fillId="0" borderId="29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/>
    </xf>
    <xf numFmtId="196" fontId="9" fillId="0" borderId="11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32" borderId="59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left" vertical="center"/>
    </xf>
    <xf numFmtId="0" fontId="9" fillId="32" borderId="29" xfId="0" applyFont="1" applyFill="1" applyBorder="1" applyAlignment="1">
      <alignment horizontal="center" vertical="center"/>
    </xf>
    <xf numFmtId="196" fontId="9" fillId="32" borderId="29" xfId="0" applyNumberFormat="1" applyFont="1" applyFill="1" applyBorder="1" applyAlignment="1">
      <alignment horizontal="right" vertical="center"/>
    </xf>
    <xf numFmtId="0" fontId="9" fillId="32" borderId="29" xfId="0" applyFont="1" applyFill="1" applyBorder="1" applyAlignment="1">
      <alignment/>
    </xf>
    <xf numFmtId="196" fontId="9" fillId="32" borderId="29" xfId="0" applyNumberFormat="1" applyFont="1" applyFill="1" applyBorder="1" applyAlignment="1">
      <alignment/>
    </xf>
    <xf numFmtId="0" fontId="9" fillId="32" borderId="60" xfId="0" applyFont="1" applyFill="1" applyBorder="1" applyAlignment="1">
      <alignment horizontal="left" vertical="center" wrapText="1"/>
    </xf>
    <xf numFmtId="0" fontId="9" fillId="32" borderId="39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196" fontId="9" fillId="32" borderId="19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/>
    </xf>
    <xf numFmtId="196" fontId="9" fillId="32" borderId="19" xfId="0" applyNumberFormat="1" applyFont="1" applyFill="1" applyBorder="1" applyAlignment="1">
      <alignment/>
    </xf>
    <xf numFmtId="0" fontId="9" fillId="32" borderId="27" xfId="0" applyFont="1" applyFill="1" applyBorder="1" applyAlignment="1">
      <alignment horizontal="left" vertical="center" wrapText="1"/>
    </xf>
    <xf numFmtId="0" fontId="9" fillId="32" borderId="40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/>
    </xf>
    <xf numFmtId="0" fontId="9" fillId="32" borderId="31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left" vertical="center"/>
    </xf>
    <xf numFmtId="0" fontId="9" fillId="32" borderId="29" xfId="0" applyFont="1" applyFill="1" applyBorder="1" applyAlignment="1">
      <alignment horizontal="right" vertical="center"/>
    </xf>
    <xf numFmtId="0" fontId="9" fillId="32" borderId="30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vertical="top"/>
    </xf>
    <xf numFmtId="196" fontId="9" fillId="32" borderId="11" xfId="0" applyNumberFormat="1" applyFont="1" applyFill="1" applyBorder="1" applyAlignment="1">
      <alignment vertical="top"/>
    </xf>
    <xf numFmtId="0" fontId="9" fillId="32" borderId="14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/>
    </xf>
    <xf numFmtId="196" fontId="9" fillId="32" borderId="10" xfId="0" applyNumberFormat="1" applyFont="1" applyFill="1" applyBorder="1" applyAlignment="1">
      <alignment/>
    </xf>
    <xf numFmtId="0" fontId="9" fillId="32" borderId="17" xfId="0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0" fontId="9" fillId="32" borderId="32" xfId="0" applyFont="1" applyFill="1" applyBorder="1" applyAlignment="1">
      <alignment horizontal="center" vertical="center"/>
    </xf>
    <xf numFmtId="196" fontId="9" fillId="32" borderId="32" xfId="0" applyNumberFormat="1" applyFont="1" applyFill="1" applyBorder="1" applyAlignment="1">
      <alignment horizontal="right" vertical="center"/>
    </xf>
    <xf numFmtId="0" fontId="9" fillId="32" borderId="32" xfId="0" applyFont="1" applyFill="1" applyBorder="1" applyAlignment="1">
      <alignment/>
    </xf>
    <xf numFmtId="196" fontId="9" fillId="32" borderId="32" xfId="0" applyNumberFormat="1" applyFont="1" applyFill="1" applyBorder="1" applyAlignment="1">
      <alignment/>
    </xf>
    <xf numFmtId="0" fontId="9" fillId="32" borderId="23" xfId="0" applyFont="1" applyFill="1" applyBorder="1" applyAlignment="1">
      <alignment horizontal="left" vertical="center"/>
    </xf>
    <xf numFmtId="0" fontId="9" fillId="32" borderId="23" xfId="0" applyFont="1" applyFill="1" applyBorder="1" applyAlignment="1">
      <alignment horizontal="center" vertical="center"/>
    </xf>
    <xf numFmtId="196" fontId="9" fillId="32" borderId="23" xfId="0" applyNumberFormat="1" applyFont="1" applyFill="1" applyBorder="1" applyAlignment="1">
      <alignment horizontal="right" vertical="center"/>
    </xf>
    <xf numFmtId="0" fontId="9" fillId="32" borderId="23" xfId="0" applyFont="1" applyFill="1" applyBorder="1" applyAlignment="1">
      <alignment horizontal="right" vertical="center"/>
    </xf>
    <xf numFmtId="0" fontId="9" fillId="32" borderId="23" xfId="0" applyFont="1" applyFill="1" applyBorder="1" applyAlignment="1">
      <alignment vertical="top"/>
    </xf>
    <xf numFmtId="0" fontId="9" fillId="32" borderId="55" xfId="0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right" vertical="center"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 vertical="top"/>
    </xf>
    <xf numFmtId="0" fontId="9" fillId="32" borderId="34" xfId="0" applyFont="1" applyFill="1" applyBorder="1" applyAlignment="1">
      <alignment horizontal="left" vertical="center"/>
    </xf>
    <xf numFmtId="9" fontId="9" fillId="32" borderId="11" xfId="0" applyNumberFormat="1" applyFont="1" applyFill="1" applyBorder="1" applyAlignment="1">
      <alignment/>
    </xf>
    <xf numFmtId="0" fontId="9" fillId="32" borderId="57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center"/>
    </xf>
    <xf numFmtId="196" fontId="9" fillId="32" borderId="21" xfId="0" applyNumberFormat="1" applyFont="1" applyFill="1" applyBorder="1" applyAlignment="1">
      <alignment horizontal="right" vertical="center"/>
    </xf>
    <xf numFmtId="9" fontId="9" fillId="32" borderId="10" xfId="0" applyNumberFormat="1" applyFont="1" applyFill="1" applyBorder="1" applyAlignment="1">
      <alignment/>
    </xf>
    <xf numFmtId="0" fontId="9" fillId="32" borderId="24" xfId="0" applyFont="1" applyFill="1" applyBorder="1" applyAlignment="1">
      <alignment horizontal="left" vertical="center" wrapText="1"/>
    </xf>
    <xf numFmtId="0" fontId="9" fillId="32" borderId="38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left" vertical="center" wrapText="1"/>
    </xf>
    <xf numFmtId="196" fontId="9" fillId="32" borderId="40" xfId="0" applyNumberFormat="1" applyFont="1" applyFill="1" applyBorder="1" applyAlignment="1">
      <alignment horizontal="right" vertical="center"/>
    </xf>
    <xf numFmtId="0" fontId="9" fillId="32" borderId="40" xfId="0" applyFont="1" applyFill="1" applyBorder="1" applyAlignment="1">
      <alignment vertical="center"/>
    </xf>
    <xf numFmtId="196" fontId="9" fillId="32" borderId="40" xfId="0" applyNumberFormat="1" applyFont="1" applyFill="1" applyBorder="1" applyAlignment="1">
      <alignment vertical="center"/>
    </xf>
    <xf numFmtId="0" fontId="9" fillId="32" borderId="65" xfId="0" applyFont="1" applyFill="1" applyBorder="1" applyAlignment="1">
      <alignment horizontal="left" vertical="center" wrapText="1"/>
    </xf>
    <xf numFmtId="9" fontId="9" fillId="32" borderId="16" xfId="0" applyNumberFormat="1" applyFont="1" applyFill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top"/>
    </xf>
    <xf numFmtId="196" fontId="9" fillId="0" borderId="16" xfId="0" applyNumberFormat="1" applyFont="1" applyBorder="1" applyAlignment="1">
      <alignment vertical="top"/>
    </xf>
    <xf numFmtId="0" fontId="9" fillId="0" borderId="18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196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/>
    </xf>
    <xf numFmtId="0" fontId="9" fillId="0" borderId="27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196" fontId="9" fillId="0" borderId="29" xfId="0" applyNumberFormat="1" applyFont="1" applyBorder="1" applyAlignment="1">
      <alignment horizontal="right" vertical="center"/>
    </xf>
    <xf numFmtId="0" fontId="9" fillId="32" borderId="16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vertical="center"/>
    </xf>
    <xf numFmtId="196" fontId="9" fillId="32" borderId="23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right" vertical="center"/>
    </xf>
    <xf numFmtId="196" fontId="9" fillId="32" borderId="16" xfId="0" applyNumberFormat="1" applyFont="1" applyFill="1" applyBorder="1" applyAlignment="1">
      <alignment horizontal="right"/>
    </xf>
    <xf numFmtId="0" fontId="9" fillId="32" borderId="47" xfId="0" applyFont="1" applyFill="1" applyBorder="1" applyAlignment="1">
      <alignment horizontal="left" vertical="center"/>
    </xf>
    <xf numFmtId="0" fontId="9" fillId="32" borderId="43" xfId="0" applyFont="1" applyFill="1" applyBorder="1" applyAlignment="1">
      <alignment horizontal="center"/>
    </xf>
    <xf numFmtId="196" fontId="9" fillId="32" borderId="16" xfId="0" applyNumberFormat="1" applyFont="1" applyFill="1" applyBorder="1" applyAlignment="1">
      <alignment/>
    </xf>
    <xf numFmtId="9" fontId="9" fillId="32" borderId="11" xfId="0" applyNumberFormat="1" applyFont="1" applyFill="1" applyBorder="1" applyAlignment="1">
      <alignment horizontal="center"/>
    </xf>
    <xf numFmtId="0" fontId="9" fillId="32" borderId="15" xfId="0" applyFont="1" applyFill="1" applyBorder="1" applyAlignment="1">
      <alignment horizontal="left" vertical="center" wrapText="1"/>
    </xf>
    <xf numFmtId="196" fontId="9" fillId="32" borderId="23" xfId="0" applyNumberFormat="1" applyFont="1" applyFill="1" applyBorder="1" applyAlignment="1">
      <alignment vertical="top"/>
    </xf>
    <xf numFmtId="0" fontId="9" fillId="32" borderId="55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vertical="top"/>
    </xf>
    <xf numFmtId="196" fontId="9" fillId="0" borderId="40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69" xfId="0" applyFont="1" applyBorder="1" applyAlignment="1">
      <alignment horizontal="center" vertical="center"/>
    </xf>
    <xf numFmtId="0" fontId="9" fillId="32" borderId="16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 wrapText="1"/>
    </xf>
    <xf numFmtId="0" fontId="9" fillId="32" borderId="16" xfId="0" applyFont="1" applyFill="1" applyBorder="1" applyAlignment="1">
      <alignment vertical="top"/>
    </xf>
    <xf numFmtId="196" fontId="9" fillId="32" borderId="16" xfId="0" applyNumberFormat="1" applyFont="1" applyFill="1" applyBorder="1" applyAlignment="1">
      <alignment vertical="top"/>
    </xf>
    <xf numFmtId="0" fontId="9" fillId="32" borderId="18" xfId="0" applyFont="1" applyFill="1" applyBorder="1" applyAlignment="1">
      <alignment horizontal="left" vertical="top" wrapText="1"/>
    </xf>
    <xf numFmtId="196" fontId="9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196" fontId="9" fillId="0" borderId="29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38" xfId="0" applyFont="1" applyBorder="1" applyAlignment="1" quotePrefix="1">
      <alignment horizontal="center" vertical="center" wrapText="1"/>
    </xf>
    <xf numFmtId="0" fontId="9" fillId="0" borderId="37" xfId="0" applyFont="1" applyBorder="1" applyAlignment="1" quotePrefix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9" fillId="0" borderId="53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54" xfId="0" applyFont="1" applyBorder="1" applyAlignment="1" quotePrefix="1">
      <alignment horizontal="center" vertical="center" wrapText="1"/>
    </xf>
    <xf numFmtId="0" fontId="9" fillId="0" borderId="70" xfId="0" applyFont="1" applyBorder="1" applyAlignment="1" quotePrefix="1">
      <alignment horizontal="center" vertical="center" wrapText="1"/>
    </xf>
    <xf numFmtId="0" fontId="9" fillId="0" borderId="53" xfId="0" applyFont="1" applyBorder="1" applyAlignment="1" quotePrefix="1">
      <alignment horizontal="center"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9" fillId="0" borderId="65" xfId="0" applyFont="1" applyBorder="1" applyAlignment="1" quotePrefix="1">
      <alignment horizontal="center" vertical="center" wrapText="1"/>
    </xf>
    <xf numFmtId="0" fontId="9" fillId="0" borderId="25" xfId="0" applyFont="1" applyBorder="1" applyAlignment="1" quotePrefix="1">
      <alignment horizontal="center" vertical="center" wrapText="1"/>
    </xf>
    <xf numFmtId="0" fontId="9" fillId="0" borderId="3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0" fillId="0" borderId="55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32" borderId="41" xfId="0" applyFont="1" applyFill="1" applyBorder="1" applyAlignment="1">
      <alignment horizontal="center"/>
    </xf>
    <xf numFmtId="0" fontId="8" fillId="32" borderId="51" xfId="0" applyFont="1" applyFill="1" applyBorder="1" applyAlignment="1">
      <alignment horizontal="center"/>
    </xf>
    <xf numFmtId="0" fontId="8" fillId="32" borderId="52" xfId="0" applyFont="1" applyFill="1" applyBorder="1" applyAlignment="1">
      <alignment horizontal="center"/>
    </xf>
    <xf numFmtId="0" fontId="8" fillId="32" borderId="57" xfId="0" applyFont="1" applyFill="1" applyBorder="1" applyAlignment="1">
      <alignment horizontal="center"/>
    </xf>
    <xf numFmtId="0" fontId="8" fillId="32" borderId="45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left" vertical="center" wrapText="1"/>
    </xf>
    <xf numFmtId="0" fontId="0" fillId="32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49"/>
  <sheetViews>
    <sheetView tabSelected="1" view="pageBreakPreview" zoomScaleSheetLayoutView="100" workbookViewId="0" topLeftCell="A16">
      <selection activeCell="H4" sqref="H4"/>
    </sheetView>
  </sheetViews>
  <sheetFormatPr defaultColWidth="9.00390625" defaultRowHeight="12.75"/>
  <cols>
    <col min="1" max="1" width="5.125" style="109" customWidth="1"/>
    <col min="2" max="2" width="53.375" style="138" customWidth="1"/>
    <col min="3" max="3" width="7.375" style="109" customWidth="1"/>
    <col min="4" max="4" width="16.75390625" style="152" customWidth="1"/>
    <col min="5" max="5" width="7.875" style="0" customWidth="1"/>
    <col min="6" max="6" width="10.00390625" style="0" customWidth="1"/>
    <col min="7" max="7" width="7.75390625" style="0" customWidth="1"/>
    <col min="8" max="8" width="35.25390625" style="0" customWidth="1"/>
  </cols>
  <sheetData>
    <row r="1" spans="1:8" s="5" customFormat="1" ht="14.25" customHeight="1">
      <c r="A1" s="93"/>
      <c r="B1" s="110"/>
      <c r="C1" s="94"/>
      <c r="D1" s="146"/>
      <c r="F1" s="8"/>
      <c r="H1" s="8" t="s">
        <v>381</v>
      </c>
    </row>
    <row r="2" spans="1:9" s="4" customFormat="1" ht="15.75" customHeight="1">
      <c r="A2" s="81"/>
      <c r="B2" s="111"/>
      <c r="C2" s="95"/>
      <c r="D2" s="147"/>
      <c r="F2" s="8"/>
      <c r="G2" s="8"/>
      <c r="H2" s="8" t="s">
        <v>295</v>
      </c>
      <c r="I2" s="8"/>
    </row>
    <row r="3" spans="1:9" s="4" customFormat="1" ht="15.75" customHeight="1">
      <c r="A3" s="95"/>
      <c r="B3" s="111"/>
      <c r="C3" s="95"/>
      <c r="D3" s="147"/>
      <c r="F3" s="9"/>
      <c r="G3" s="8"/>
      <c r="H3" s="9" t="s">
        <v>296</v>
      </c>
      <c r="I3" s="8"/>
    </row>
    <row r="4" spans="1:9" s="4" customFormat="1" ht="18" customHeight="1">
      <c r="A4" s="95"/>
      <c r="B4" s="112"/>
      <c r="C4" s="95"/>
      <c r="D4" s="147"/>
      <c r="F4" s="8"/>
      <c r="G4" s="8"/>
      <c r="H4" s="8" t="s">
        <v>427</v>
      </c>
      <c r="I4" s="8"/>
    </row>
    <row r="5" spans="1:8" s="4" customFormat="1" ht="21.75" customHeight="1">
      <c r="A5" s="81"/>
      <c r="B5" s="112"/>
      <c r="C5" s="95"/>
      <c r="D5" s="147"/>
      <c r="F5" s="1"/>
      <c r="H5" s="6"/>
    </row>
    <row r="6" spans="1:8" s="2" customFormat="1" ht="20.25" customHeight="1">
      <c r="A6" s="446" t="s">
        <v>298</v>
      </c>
      <c r="B6" s="446"/>
      <c r="C6" s="446"/>
      <c r="D6" s="446"/>
      <c r="E6" s="446"/>
      <c r="F6" s="446"/>
      <c r="G6" s="446"/>
      <c r="H6" s="446"/>
    </row>
    <row r="7" spans="1:8" ht="18" customHeight="1">
      <c r="A7" s="446" t="s">
        <v>297</v>
      </c>
      <c r="B7" s="464"/>
      <c r="C7" s="464"/>
      <c r="D7" s="464"/>
      <c r="E7" s="464"/>
      <c r="F7" s="464"/>
      <c r="G7" s="464"/>
      <c r="H7" s="464"/>
    </row>
    <row r="8" spans="1:8" ht="16.5" customHeight="1">
      <c r="A8" s="447" t="s">
        <v>385</v>
      </c>
      <c r="B8" s="447"/>
      <c r="C8" s="447"/>
      <c r="D8" s="447"/>
      <c r="E8" s="447"/>
      <c r="F8" s="447"/>
      <c r="G8" s="447"/>
      <c r="H8" s="447"/>
    </row>
    <row r="9" spans="1:8" ht="13.5" customHeight="1" thickBot="1">
      <c r="A9" s="81"/>
      <c r="B9" s="111"/>
      <c r="C9" s="81"/>
      <c r="D9" s="148"/>
      <c r="E9" s="7"/>
      <c r="F9" s="7"/>
      <c r="G9" s="7"/>
      <c r="H9" s="7"/>
    </row>
    <row r="10" spans="1:8" s="8" customFormat="1" ht="48" customHeight="1">
      <c r="A10" s="448" t="s">
        <v>185</v>
      </c>
      <c r="B10" s="450" t="s">
        <v>301</v>
      </c>
      <c r="C10" s="452" t="s">
        <v>184</v>
      </c>
      <c r="D10" s="454" t="s">
        <v>149</v>
      </c>
      <c r="E10" s="456" t="s">
        <v>300</v>
      </c>
      <c r="F10" s="457"/>
      <c r="G10" s="458" t="s">
        <v>103</v>
      </c>
      <c r="H10" s="460" t="s">
        <v>186</v>
      </c>
    </row>
    <row r="11" spans="1:8" s="8" customFormat="1" ht="30" customHeight="1" thickBot="1">
      <c r="A11" s="449"/>
      <c r="B11" s="451"/>
      <c r="C11" s="453"/>
      <c r="D11" s="455"/>
      <c r="E11" s="10" t="s">
        <v>187</v>
      </c>
      <c r="F11" s="11" t="s">
        <v>188</v>
      </c>
      <c r="G11" s="459"/>
      <c r="H11" s="461"/>
    </row>
    <row r="12" spans="1:8" s="178" customFormat="1" ht="16.5" customHeight="1" thickBot="1">
      <c r="A12" s="82">
        <v>1</v>
      </c>
      <c r="B12" s="83">
        <v>2</v>
      </c>
      <c r="C12" s="107">
        <v>3</v>
      </c>
      <c r="D12" s="153">
        <v>4</v>
      </c>
      <c r="E12" s="107">
        <v>5</v>
      </c>
      <c r="F12" s="107">
        <v>6</v>
      </c>
      <c r="G12" s="107">
        <v>7</v>
      </c>
      <c r="H12" s="179">
        <v>8</v>
      </c>
    </row>
    <row r="13" spans="1:8" s="8" customFormat="1" ht="18" customHeight="1" thickBot="1">
      <c r="A13" s="82" t="s">
        <v>0</v>
      </c>
      <c r="B13" s="157" t="s">
        <v>324</v>
      </c>
      <c r="C13" s="107"/>
      <c r="D13" s="149"/>
      <c r="E13" s="79"/>
      <c r="F13" s="79"/>
      <c r="G13" s="79"/>
      <c r="H13" s="158"/>
    </row>
    <row r="14" spans="1:8" s="178" customFormat="1" ht="31.5">
      <c r="A14" s="91"/>
      <c r="B14" s="154" t="s">
        <v>196</v>
      </c>
      <c r="C14" s="43" t="s">
        <v>2</v>
      </c>
      <c r="D14" s="209">
        <f>21340.7+1646.13+18999+1044.15+939+2888.4+2100-1391.9-1911.9-115+242+298.28+332.1</f>
        <v>46410.96</v>
      </c>
      <c r="E14" s="42">
        <v>80</v>
      </c>
      <c r="F14" s="69">
        <f>ROUND((D14*E14%),0)</f>
        <v>37129</v>
      </c>
      <c r="G14" s="166"/>
      <c r="H14" s="22" t="s">
        <v>41</v>
      </c>
    </row>
    <row r="15" spans="1:8" s="8" customFormat="1" ht="15.75">
      <c r="A15" s="91"/>
      <c r="B15" s="113" t="s">
        <v>152</v>
      </c>
      <c r="C15" s="39" t="s">
        <v>302</v>
      </c>
      <c r="D15" s="77" t="s">
        <v>197</v>
      </c>
      <c r="E15" s="12"/>
      <c r="F15" s="17">
        <f>1446.3*2</f>
        <v>2892.6</v>
      </c>
      <c r="G15" s="12"/>
      <c r="H15" s="15"/>
    </row>
    <row r="16" spans="1:8" s="8" customFormat="1" ht="15.75">
      <c r="A16" s="91"/>
      <c r="B16" s="113" t="s">
        <v>168</v>
      </c>
      <c r="C16" s="39" t="s">
        <v>2</v>
      </c>
      <c r="D16" s="181">
        <f>(2892.6+1298)*0.6</f>
        <v>2514.36</v>
      </c>
      <c r="E16" s="18"/>
      <c r="F16" s="17">
        <f>(F15+1298)*0.6</f>
        <v>2514.36</v>
      </c>
      <c r="G16" s="16" t="s">
        <v>343</v>
      </c>
      <c r="H16" s="15" t="s">
        <v>41</v>
      </c>
    </row>
    <row r="17" spans="1:8" s="8" customFormat="1" ht="15.75">
      <c r="A17" s="91"/>
      <c r="B17" s="113" t="s">
        <v>169</v>
      </c>
      <c r="C17" s="39" t="s">
        <v>2</v>
      </c>
      <c r="D17" s="181">
        <v>3524</v>
      </c>
      <c r="E17" s="12">
        <v>100</v>
      </c>
      <c r="F17" s="17">
        <f>ROUND((D17*E17%),0)</f>
        <v>3524</v>
      </c>
      <c r="G17" s="16"/>
      <c r="H17" s="15" t="s">
        <v>41</v>
      </c>
    </row>
    <row r="18" spans="1:8" s="8" customFormat="1" ht="15.75">
      <c r="A18" s="91"/>
      <c r="B18" s="114" t="s">
        <v>161</v>
      </c>
      <c r="C18" s="140" t="s">
        <v>2</v>
      </c>
      <c r="D18" s="183">
        <v>25039.8</v>
      </c>
      <c r="E18" s="12">
        <v>70</v>
      </c>
      <c r="F18" s="17">
        <f aca="true" t="shared" si="0" ref="F18:F37">ROUND((D18*E18%),0)</f>
        <v>17528</v>
      </c>
      <c r="G18" s="20"/>
      <c r="H18" s="15" t="s">
        <v>41</v>
      </c>
    </row>
    <row r="19" spans="1:8" s="8" customFormat="1" ht="15.75">
      <c r="A19" s="91"/>
      <c r="B19" s="113" t="s">
        <v>170</v>
      </c>
      <c r="C19" s="39" t="s">
        <v>2</v>
      </c>
      <c r="D19" s="181">
        <v>2374</v>
      </c>
      <c r="E19" s="12">
        <v>100</v>
      </c>
      <c r="F19" s="17">
        <f t="shared" si="0"/>
        <v>2374</v>
      </c>
      <c r="G19" s="16"/>
      <c r="H19" s="21" t="s">
        <v>41</v>
      </c>
    </row>
    <row r="20" spans="1:8" s="8" customFormat="1" ht="15.75">
      <c r="A20" s="91"/>
      <c r="B20" s="113" t="s">
        <v>393</v>
      </c>
      <c r="C20" s="39" t="s">
        <v>2</v>
      </c>
      <c r="D20" s="181">
        <v>3524</v>
      </c>
      <c r="E20" s="12">
        <v>100</v>
      </c>
      <c r="F20" s="17">
        <f t="shared" si="0"/>
        <v>3524</v>
      </c>
      <c r="G20" s="12"/>
      <c r="H20" s="21" t="s">
        <v>51</v>
      </c>
    </row>
    <row r="21" spans="1:9" s="8" customFormat="1" ht="15.75">
      <c r="A21" s="91"/>
      <c r="B21" s="113" t="s">
        <v>165</v>
      </c>
      <c r="C21" s="39" t="s">
        <v>2</v>
      </c>
      <c r="D21" s="181">
        <v>3524</v>
      </c>
      <c r="E21" s="12">
        <v>100</v>
      </c>
      <c r="F21" s="17">
        <f t="shared" si="0"/>
        <v>3524</v>
      </c>
      <c r="G21" s="12"/>
      <c r="H21" s="21" t="s">
        <v>51</v>
      </c>
      <c r="I21" s="8" t="s">
        <v>93</v>
      </c>
    </row>
    <row r="22" spans="1:9" s="8" customFormat="1" ht="15.75">
      <c r="A22" s="91"/>
      <c r="B22" s="113" t="s">
        <v>394</v>
      </c>
      <c r="C22" s="39" t="s">
        <v>2</v>
      </c>
      <c r="D22" s="77"/>
      <c r="E22" s="13"/>
      <c r="F22" s="17">
        <f>F16</f>
        <v>2514.36</v>
      </c>
      <c r="G22" s="12"/>
      <c r="H22" s="22" t="s">
        <v>52</v>
      </c>
      <c r="I22" s="8" t="s">
        <v>92</v>
      </c>
    </row>
    <row r="23" spans="1:8" s="8" customFormat="1" ht="15.75">
      <c r="A23" s="91"/>
      <c r="B23" s="113" t="s">
        <v>305</v>
      </c>
      <c r="C23" s="39" t="s">
        <v>106</v>
      </c>
      <c r="D23" s="78" t="s">
        <v>109</v>
      </c>
      <c r="E23" s="188">
        <v>50</v>
      </c>
      <c r="F23" s="17">
        <f>15.2*E23%</f>
        <v>7.6</v>
      </c>
      <c r="G23" s="12"/>
      <c r="H23" s="15" t="s">
        <v>52</v>
      </c>
    </row>
    <row r="24" spans="1:8" s="8" customFormat="1" ht="15.75">
      <c r="A24" s="91"/>
      <c r="B24" s="87" t="s">
        <v>156</v>
      </c>
      <c r="C24" s="43" t="s">
        <v>2</v>
      </c>
      <c r="D24" s="209">
        <f>18999+1044.15-1911.9+115+298.28+108.5</f>
        <v>18653.03</v>
      </c>
      <c r="E24" s="12">
        <v>80</v>
      </c>
      <c r="F24" s="17">
        <f t="shared" si="0"/>
        <v>14922</v>
      </c>
      <c r="G24" s="16" t="s">
        <v>4</v>
      </c>
      <c r="H24" s="22" t="s">
        <v>41</v>
      </c>
    </row>
    <row r="25" spans="1:8" s="8" customFormat="1" ht="15.75">
      <c r="A25" s="91"/>
      <c r="B25" s="113" t="s">
        <v>171</v>
      </c>
      <c r="C25" s="39" t="s">
        <v>2</v>
      </c>
      <c r="D25" s="181">
        <v>1520.8</v>
      </c>
      <c r="E25" s="12">
        <v>100</v>
      </c>
      <c r="F25" s="17">
        <f t="shared" si="0"/>
        <v>1521</v>
      </c>
      <c r="G25" s="16"/>
      <c r="H25" s="21" t="s">
        <v>41</v>
      </c>
    </row>
    <row r="26" spans="1:9" s="8" customFormat="1" ht="24" customHeight="1">
      <c r="A26" s="91"/>
      <c r="B26" s="113" t="s">
        <v>166</v>
      </c>
      <c r="C26" s="39" t="s">
        <v>11</v>
      </c>
      <c r="D26" s="77">
        <v>58</v>
      </c>
      <c r="E26" s="38">
        <v>100</v>
      </c>
      <c r="F26" s="68">
        <f t="shared" si="0"/>
        <v>58</v>
      </c>
      <c r="G26" s="38"/>
      <c r="H26" s="465" t="s">
        <v>287</v>
      </c>
      <c r="I26" s="8" t="s">
        <v>94</v>
      </c>
    </row>
    <row r="27" spans="1:9" s="8" customFormat="1" ht="19.5" customHeight="1">
      <c r="A27" s="91"/>
      <c r="B27" s="115" t="s">
        <v>167</v>
      </c>
      <c r="C27" s="139" t="s">
        <v>38</v>
      </c>
      <c r="D27" s="77" t="s">
        <v>271</v>
      </c>
      <c r="E27" s="38">
        <v>100</v>
      </c>
      <c r="F27" s="37" t="str">
        <f>D27</f>
        <v>63/302,4</v>
      </c>
      <c r="G27" s="177"/>
      <c r="H27" s="466"/>
      <c r="I27" s="27" t="s">
        <v>6</v>
      </c>
    </row>
    <row r="28" spans="1:8" s="8" customFormat="1" ht="15.75">
      <c r="A28" s="91"/>
      <c r="B28" s="116" t="s">
        <v>150</v>
      </c>
      <c r="C28" s="43" t="s">
        <v>2</v>
      </c>
      <c r="D28" s="209">
        <f>18999+1044.15-1911.9+115+298.28+108.5</f>
        <v>18653.03</v>
      </c>
      <c r="E28" s="23">
        <v>40</v>
      </c>
      <c r="F28" s="17">
        <f t="shared" si="0"/>
        <v>7461</v>
      </c>
      <c r="G28" s="16"/>
      <c r="H28" s="26" t="s">
        <v>51</v>
      </c>
    </row>
    <row r="29" spans="1:8" s="8" customFormat="1" ht="15.75">
      <c r="A29" s="91"/>
      <c r="B29" s="116" t="s">
        <v>215</v>
      </c>
      <c r="C29" s="43" t="s">
        <v>2</v>
      </c>
      <c r="D29" s="181">
        <v>1520.8</v>
      </c>
      <c r="E29" s="12">
        <v>100</v>
      </c>
      <c r="F29" s="17">
        <f t="shared" si="0"/>
        <v>1521</v>
      </c>
      <c r="G29" s="16"/>
      <c r="H29" s="26" t="s">
        <v>51</v>
      </c>
    </row>
    <row r="30" spans="1:8" s="8" customFormat="1" ht="15.75">
      <c r="A30" s="91"/>
      <c r="B30" s="113" t="s">
        <v>234</v>
      </c>
      <c r="C30" s="39" t="s">
        <v>235</v>
      </c>
      <c r="D30" s="383">
        <v>63</v>
      </c>
      <c r="E30" s="12">
        <v>100</v>
      </c>
      <c r="F30" s="13">
        <f t="shared" si="0"/>
        <v>63</v>
      </c>
      <c r="G30" s="14"/>
      <c r="H30" s="26" t="s">
        <v>51</v>
      </c>
    </row>
    <row r="31" spans="1:8" s="8" customFormat="1" ht="15.75">
      <c r="A31" s="91"/>
      <c r="B31" s="113" t="s">
        <v>210</v>
      </c>
      <c r="C31" s="39" t="s">
        <v>2</v>
      </c>
      <c r="D31" s="201">
        <f>18999+1044.15-1911.9+115+298.28</f>
        <v>18544.53</v>
      </c>
      <c r="E31" s="23">
        <v>40</v>
      </c>
      <c r="F31" s="17">
        <f t="shared" si="0"/>
        <v>7418</v>
      </c>
      <c r="G31" s="16"/>
      <c r="H31" s="26" t="s">
        <v>51</v>
      </c>
    </row>
    <row r="32" spans="1:8" s="8" customFormat="1" ht="15.75" customHeight="1">
      <c r="A32" s="91"/>
      <c r="B32" s="116" t="s">
        <v>222</v>
      </c>
      <c r="C32" s="39" t="s">
        <v>2</v>
      </c>
      <c r="D32" s="201">
        <v>59.25</v>
      </c>
      <c r="E32" s="12">
        <v>100</v>
      </c>
      <c r="F32" s="17">
        <f t="shared" si="0"/>
        <v>59</v>
      </c>
      <c r="G32" s="16"/>
      <c r="H32" s="26" t="s">
        <v>51</v>
      </c>
    </row>
    <row r="33" spans="1:8" s="8" customFormat="1" ht="15.75">
      <c r="A33" s="91"/>
      <c r="B33" s="113" t="s">
        <v>395</v>
      </c>
      <c r="C33" s="39" t="s">
        <v>2</v>
      </c>
      <c r="D33" s="201">
        <f>18999+1044.15-1911.9+115+298.28</f>
        <v>18544.53</v>
      </c>
      <c r="E33" s="12">
        <v>30</v>
      </c>
      <c r="F33" s="17">
        <f t="shared" si="0"/>
        <v>5563</v>
      </c>
      <c r="G33" s="12"/>
      <c r="H33" s="26" t="s">
        <v>51</v>
      </c>
    </row>
    <row r="34" spans="1:8" s="8" customFormat="1" ht="15.75">
      <c r="A34" s="91"/>
      <c r="B34" s="113" t="s">
        <v>396</v>
      </c>
      <c r="C34" s="39" t="s">
        <v>2</v>
      </c>
      <c r="D34" s="181">
        <v>1520.8</v>
      </c>
      <c r="E34" s="12">
        <v>100</v>
      </c>
      <c r="F34" s="17">
        <f t="shared" si="0"/>
        <v>1521</v>
      </c>
      <c r="G34" s="12"/>
      <c r="H34" s="26" t="s">
        <v>51</v>
      </c>
    </row>
    <row r="35" spans="1:8" s="8" customFormat="1" ht="15.75">
      <c r="A35" s="91"/>
      <c r="B35" s="113" t="s">
        <v>290</v>
      </c>
      <c r="C35" s="39" t="s">
        <v>2</v>
      </c>
      <c r="D35" s="181">
        <f>21340.7+1646.13+2100-103.83</f>
        <v>24983</v>
      </c>
      <c r="E35" s="12">
        <v>100</v>
      </c>
      <c r="F35" s="17">
        <f t="shared" si="0"/>
        <v>24983</v>
      </c>
      <c r="G35" s="14"/>
      <c r="H35" s="15" t="s">
        <v>303</v>
      </c>
    </row>
    <row r="36" spans="1:8" s="8" customFormat="1" ht="15.75">
      <c r="A36" s="91"/>
      <c r="B36" s="113" t="s">
        <v>290</v>
      </c>
      <c r="C36" s="39" t="s">
        <v>2</v>
      </c>
      <c r="D36" s="181">
        <f>21340.7+1646.13+2100-103.83</f>
        <v>24983</v>
      </c>
      <c r="E36" s="12">
        <v>20</v>
      </c>
      <c r="F36" s="17">
        <f t="shared" si="0"/>
        <v>4997</v>
      </c>
      <c r="G36" s="14"/>
      <c r="H36" s="15" t="s">
        <v>344</v>
      </c>
    </row>
    <row r="37" spans="1:8" s="8" customFormat="1" ht="16.5" thickBot="1">
      <c r="A37" s="91"/>
      <c r="B37" s="117" t="s">
        <v>157</v>
      </c>
      <c r="C37" s="39" t="s">
        <v>2</v>
      </c>
      <c r="D37" s="211">
        <f>21340.7+1646.13+2100-1391.9-1391.9-103.83+223.8</f>
        <v>22422.999999999996</v>
      </c>
      <c r="E37" s="13">
        <v>70</v>
      </c>
      <c r="F37" s="17">
        <f t="shared" si="0"/>
        <v>15696</v>
      </c>
      <c r="G37" s="12"/>
      <c r="H37" s="15" t="s">
        <v>144</v>
      </c>
    </row>
    <row r="38" spans="1:8" s="8" customFormat="1" ht="16.5" thickBot="1">
      <c r="A38" s="82" t="s">
        <v>3</v>
      </c>
      <c r="B38" s="157" t="s">
        <v>325</v>
      </c>
      <c r="C38" s="107"/>
      <c r="D38" s="149"/>
      <c r="E38" s="79"/>
      <c r="F38" s="79"/>
      <c r="G38" s="79"/>
      <c r="H38" s="158"/>
    </row>
    <row r="39" spans="1:8" s="8" customFormat="1" ht="31.5">
      <c r="A39" s="96"/>
      <c r="B39" s="168" t="s">
        <v>190</v>
      </c>
      <c r="C39" s="98" t="s">
        <v>2</v>
      </c>
      <c r="D39" s="200">
        <f>40856.8+9384.1+462+55+2414+196.5+151+2200+2814.86</f>
        <v>58534.26</v>
      </c>
      <c r="E39" s="175">
        <v>80</v>
      </c>
      <c r="F39" s="213">
        <f>ROUND((D39*E39%),0)</f>
        <v>46827</v>
      </c>
      <c r="G39" s="176"/>
      <c r="H39" s="30" t="s">
        <v>42</v>
      </c>
    </row>
    <row r="40" spans="1:8" s="8" customFormat="1" ht="15.75">
      <c r="A40" s="91"/>
      <c r="B40" s="113" t="s">
        <v>152</v>
      </c>
      <c r="C40" s="39" t="s">
        <v>302</v>
      </c>
      <c r="D40" s="77"/>
      <c r="E40" s="12"/>
      <c r="F40" s="12">
        <v>2745</v>
      </c>
      <c r="G40" s="12"/>
      <c r="H40" s="15"/>
    </row>
    <row r="41" spans="1:8" s="8" customFormat="1" ht="15.75">
      <c r="A41" s="91"/>
      <c r="B41" s="113" t="s">
        <v>160</v>
      </c>
      <c r="C41" s="39" t="s">
        <v>2</v>
      </c>
      <c r="D41" s="150" t="s">
        <v>248</v>
      </c>
      <c r="E41" s="25">
        <v>100</v>
      </c>
      <c r="F41" s="17">
        <f>F40*0.6</f>
        <v>1647</v>
      </c>
      <c r="G41" s="16" t="s">
        <v>4</v>
      </c>
      <c r="H41" s="21" t="s">
        <v>46</v>
      </c>
    </row>
    <row r="42" spans="1:8" s="8" customFormat="1" ht="15.75">
      <c r="A42" s="91"/>
      <c r="B42" s="84" t="s">
        <v>293</v>
      </c>
      <c r="C42" s="39" t="s">
        <v>2</v>
      </c>
      <c r="D42" s="181">
        <v>1569.8</v>
      </c>
      <c r="E42" s="13">
        <v>60</v>
      </c>
      <c r="F42" s="17">
        <f aca="true" t="shared" si="1" ref="F42:F51">ROUND((D42*E42%),0)</f>
        <v>942</v>
      </c>
      <c r="G42" s="28"/>
      <c r="H42" s="21" t="s">
        <v>46</v>
      </c>
    </row>
    <row r="43" spans="1:8" s="8" customFormat="1" ht="15.75">
      <c r="A43" s="91"/>
      <c r="B43" s="113" t="s">
        <v>394</v>
      </c>
      <c r="C43" s="39" t="s">
        <v>2</v>
      </c>
      <c r="D43" s="150" t="s">
        <v>248</v>
      </c>
      <c r="E43" s="13"/>
      <c r="F43" s="17">
        <f>F41</f>
        <v>1647</v>
      </c>
      <c r="G43" s="12"/>
      <c r="H43" s="22" t="s">
        <v>52</v>
      </c>
    </row>
    <row r="44" spans="1:8" s="8" customFormat="1" ht="15.75">
      <c r="A44" s="91"/>
      <c r="B44" s="119" t="s">
        <v>155</v>
      </c>
      <c r="C44" s="39" t="s">
        <v>2</v>
      </c>
      <c r="D44" s="203">
        <f>43990+1360</f>
        <v>45350</v>
      </c>
      <c r="E44" s="13">
        <v>60</v>
      </c>
      <c r="F44" s="17">
        <f>D44*E44/100</f>
        <v>27210</v>
      </c>
      <c r="G44" s="16"/>
      <c r="H44" s="21" t="s">
        <v>46</v>
      </c>
    </row>
    <row r="45" spans="1:8" s="8" customFormat="1" ht="15.75">
      <c r="A45" s="91"/>
      <c r="B45" s="113" t="s">
        <v>154</v>
      </c>
      <c r="C45" s="39" t="s">
        <v>2</v>
      </c>
      <c r="D45" s="181">
        <v>1360</v>
      </c>
      <c r="E45" s="12">
        <v>100</v>
      </c>
      <c r="F45" s="17">
        <f t="shared" si="1"/>
        <v>1360</v>
      </c>
      <c r="G45" s="16"/>
      <c r="H45" s="21" t="s">
        <v>50</v>
      </c>
    </row>
    <row r="46" spans="1:8" s="8" customFormat="1" ht="15.75">
      <c r="A46" s="91"/>
      <c r="B46" s="113" t="s">
        <v>305</v>
      </c>
      <c r="C46" s="39" t="s">
        <v>106</v>
      </c>
      <c r="D46" s="78" t="s">
        <v>223</v>
      </c>
      <c r="E46" s="12">
        <v>50</v>
      </c>
      <c r="F46" s="17">
        <f>28.5*E46%</f>
        <v>14.25</v>
      </c>
      <c r="G46" s="12"/>
      <c r="H46" s="15" t="s">
        <v>52</v>
      </c>
    </row>
    <row r="47" spans="1:8" s="8" customFormat="1" ht="15.75">
      <c r="A47" s="97"/>
      <c r="B47" s="120" t="s">
        <v>156</v>
      </c>
      <c r="C47" s="39" t="s">
        <v>2</v>
      </c>
      <c r="D47" s="181">
        <f>9384.1+196.5+151+284.76</f>
        <v>10016.36</v>
      </c>
      <c r="E47" s="12">
        <v>50</v>
      </c>
      <c r="F47" s="17">
        <f t="shared" si="1"/>
        <v>5008</v>
      </c>
      <c r="G47" s="16" t="s">
        <v>4</v>
      </c>
      <c r="H47" s="21" t="s">
        <v>46</v>
      </c>
    </row>
    <row r="48" spans="1:8" s="8" customFormat="1" ht="15.75">
      <c r="A48" s="97"/>
      <c r="B48" s="120" t="s">
        <v>150</v>
      </c>
      <c r="C48" s="39" t="s">
        <v>2</v>
      </c>
      <c r="D48" s="181">
        <f>7882+1502.1+196.5+151+284.76</f>
        <v>10016.36</v>
      </c>
      <c r="E48" s="12">
        <v>30</v>
      </c>
      <c r="F48" s="17">
        <f t="shared" si="1"/>
        <v>3005</v>
      </c>
      <c r="G48" s="14"/>
      <c r="H48" s="21" t="s">
        <v>51</v>
      </c>
    </row>
    <row r="49" spans="1:8" s="8" customFormat="1" ht="15.75">
      <c r="A49" s="97"/>
      <c r="B49" s="123" t="s">
        <v>210</v>
      </c>
      <c r="C49" s="43" t="s">
        <v>2</v>
      </c>
      <c r="D49" s="201">
        <f>7882+1502.1+196.5+151+284.76</f>
        <v>10016.36</v>
      </c>
      <c r="E49" s="23">
        <v>30</v>
      </c>
      <c r="F49" s="32">
        <f t="shared" si="1"/>
        <v>3005</v>
      </c>
      <c r="G49" s="41"/>
      <c r="H49" s="26" t="s">
        <v>51</v>
      </c>
    </row>
    <row r="50" spans="1:8" s="8" customFormat="1" ht="15.75">
      <c r="A50" s="91"/>
      <c r="B50" s="116" t="s">
        <v>222</v>
      </c>
      <c r="C50" s="43" t="s">
        <v>2</v>
      </c>
      <c r="D50" s="201">
        <v>15.75</v>
      </c>
      <c r="E50" s="23">
        <v>100</v>
      </c>
      <c r="F50" s="32">
        <f t="shared" si="1"/>
        <v>16</v>
      </c>
      <c r="G50" s="31"/>
      <c r="H50" s="21" t="s">
        <v>51</v>
      </c>
    </row>
    <row r="51" spans="1:8" s="8" customFormat="1" ht="15.75">
      <c r="A51" s="91"/>
      <c r="B51" s="113" t="s">
        <v>395</v>
      </c>
      <c r="C51" s="39" t="s">
        <v>2</v>
      </c>
      <c r="D51" s="181">
        <f>7882+1502.1+196.5+151+284.76</f>
        <v>10016.36</v>
      </c>
      <c r="E51" s="12">
        <v>30</v>
      </c>
      <c r="F51" s="17">
        <f t="shared" si="1"/>
        <v>3005</v>
      </c>
      <c r="G51" s="12"/>
      <c r="H51" s="26" t="s">
        <v>51</v>
      </c>
    </row>
    <row r="52" spans="1:8" s="8" customFormat="1" ht="24.75" customHeight="1">
      <c r="A52" s="91"/>
      <c r="B52" s="113" t="s">
        <v>167</v>
      </c>
      <c r="C52" s="139" t="s">
        <v>38</v>
      </c>
      <c r="D52" s="77" t="s">
        <v>77</v>
      </c>
      <c r="E52" s="38">
        <v>100</v>
      </c>
      <c r="F52" s="37" t="s">
        <v>77</v>
      </c>
      <c r="G52" s="16"/>
      <c r="H52" s="465" t="s">
        <v>287</v>
      </c>
    </row>
    <row r="53" spans="1:8" s="8" customFormat="1" ht="23.25" customHeight="1">
      <c r="A53" s="91"/>
      <c r="B53" s="113" t="s">
        <v>166</v>
      </c>
      <c r="C53" s="39" t="s">
        <v>11</v>
      </c>
      <c r="D53" s="77">
        <v>5</v>
      </c>
      <c r="E53" s="38">
        <v>100</v>
      </c>
      <c r="F53" s="38">
        <v>5</v>
      </c>
      <c r="G53" s="16"/>
      <c r="H53" s="466"/>
    </row>
    <row r="54" spans="1:8" s="8" customFormat="1" ht="15.75">
      <c r="A54" s="91"/>
      <c r="B54" s="113" t="s">
        <v>290</v>
      </c>
      <c r="C54" s="43" t="s">
        <v>2</v>
      </c>
      <c r="D54" s="201">
        <f>36724+4132.8+2414+2200+2530.1</f>
        <v>48000.9</v>
      </c>
      <c r="E54" s="12">
        <v>50</v>
      </c>
      <c r="F54" s="17">
        <f>ROUND((D54*E54%),0)</f>
        <v>24000</v>
      </c>
      <c r="G54" s="14"/>
      <c r="H54" s="15" t="s">
        <v>303</v>
      </c>
    </row>
    <row r="55" spans="1:8" s="8" customFormat="1" ht="15.75">
      <c r="A55" s="91"/>
      <c r="B55" s="114" t="s">
        <v>290</v>
      </c>
      <c r="C55" s="141" t="s">
        <v>2</v>
      </c>
      <c r="D55" s="210">
        <f>36724+4132.8+2414+2200+2530.1</f>
        <v>48000.9</v>
      </c>
      <c r="E55" s="19">
        <v>20</v>
      </c>
      <c r="F55" s="184">
        <f>ROUND((D55*E55%),0)</f>
        <v>9600</v>
      </c>
      <c r="G55" s="167"/>
      <c r="H55" s="36" t="s">
        <v>344</v>
      </c>
    </row>
    <row r="56" spans="1:8" s="8" customFormat="1" ht="16.5" thickBot="1">
      <c r="A56" s="97"/>
      <c r="B56" s="180" t="s">
        <v>157</v>
      </c>
      <c r="C56" s="140" t="s">
        <v>2</v>
      </c>
      <c r="D56" s="183">
        <f>40856.8+2414+2200+2530.1</f>
        <v>48000.9</v>
      </c>
      <c r="E56" s="19">
        <v>80</v>
      </c>
      <c r="F56" s="184">
        <f>ROUND((D56*E56%),0)</f>
        <v>38401</v>
      </c>
      <c r="G56" s="19"/>
      <c r="H56" s="24" t="s">
        <v>144</v>
      </c>
    </row>
    <row r="57" spans="1:8" s="8" customFormat="1" ht="16.5" customHeight="1" thickBot="1">
      <c r="A57" s="82" t="s">
        <v>8</v>
      </c>
      <c r="B57" s="157" t="s">
        <v>340</v>
      </c>
      <c r="C57" s="107"/>
      <c r="D57" s="149"/>
      <c r="E57" s="79"/>
      <c r="F57" s="79"/>
      <c r="G57" s="79"/>
      <c r="H57" s="80"/>
    </row>
    <row r="58" spans="1:8" s="8" customFormat="1" ht="16.5" customHeight="1">
      <c r="A58" s="91"/>
      <c r="B58" s="155" t="s">
        <v>191</v>
      </c>
      <c r="C58" s="43" t="s">
        <v>2</v>
      </c>
      <c r="D58" s="78">
        <f>2337.5+1254</f>
        <v>3591.5</v>
      </c>
      <c r="E58" s="23">
        <v>80</v>
      </c>
      <c r="F58" s="32">
        <f>ROUND((D58*E58%),0)</f>
        <v>2873</v>
      </c>
      <c r="G58" s="48"/>
      <c r="H58" s="26" t="s">
        <v>46</v>
      </c>
    </row>
    <row r="59" spans="1:8" s="8" customFormat="1" ht="15.75" customHeight="1">
      <c r="A59" s="97"/>
      <c r="B59" s="120" t="s">
        <v>152</v>
      </c>
      <c r="C59" s="39" t="s">
        <v>302</v>
      </c>
      <c r="D59" s="77"/>
      <c r="E59" s="12"/>
      <c r="F59" s="12">
        <v>724</v>
      </c>
      <c r="G59" s="12"/>
      <c r="H59" s="15"/>
    </row>
    <row r="60" spans="1:8" s="191" customFormat="1" ht="15.75" customHeight="1">
      <c r="A60" s="185"/>
      <c r="B60" s="421" t="s">
        <v>153</v>
      </c>
      <c r="C60" s="193" t="s">
        <v>2</v>
      </c>
      <c r="D60" s="419" t="s">
        <v>398</v>
      </c>
      <c r="E60" s="422"/>
      <c r="F60" s="423">
        <f>(F59+1267.3)*0.6</f>
        <v>1194.78</v>
      </c>
      <c r="G60" s="189" t="s">
        <v>5</v>
      </c>
      <c r="H60" s="417" t="s">
        <v>46</v>
      </c>
    </row>
    <row r="61" spans="1:8" s="191" customFormat="1" ht="15.75" customHeight="1">
      <c r="A61" s="185"/>
      <c r="B61" s="386" t="s">
        <v>158</v>
      </c>
      <c r="C61" s="187"/>
      <c r="D61" s="211">
        <f>6076.1+1267.3</f>
        <v>7343.400000000001</v>
      </c>
      <c r="E61" s="188">
        <v>40</v>
      </c>
      <c r="F61" s="214">
        <f aca="true" t="shared" si="2" ref="F61:F72">ROUND((D61*E61%),0)</f>
        <v>2937</v>
      </c>
      <c r="G61" s="424"/>
      <c r="H61" s="199" t="s">
        <v>46</v>
      </c>
    </row>
    <row r="62" spans="1:8" s="191" customFormat="1" ht="15" customHeight="1">
      <c r="A62" s="185"/>
      <c r="B62" s="386" t="s">
        <v>397</v>
      </c>
      <c r="C62" s="187" t="s">
        <v>2</v>
      </c>
      <c r="D62" s="383"/>
      <c r="E62" s="418"/>
      <c r="F62" s="214">
        <f>F60</f>
        <v>1194.78</v>
      </c>
      <c r="G62" s="188"/>
      <c r="H62" s="425" t="s">
        <v>52</v>
      </c>
    </row>
    <row r="63" spans="1:8" s="8" customFormat="1" ht="15.75">
      <c r="A63" s="91"/>
      <c r="B63" s="113" t="s">
        <v>305</v>
      </c>
      <c r="C63" s="39" t="s">
        <v>106</v>
      </c>
      <c r="D63" s="78" t="s">
        <v>110</v>
      </c>
      <c r="E63" s="12">
        <v>50</v>
      </c>
      <c r="F63" s="365">
        <f>1.92*E63%</f>
        <v>0.96</v>
      </c>
      <c r="G63" s="12"/>
      <c r="H63" s="15" t="s">
        <v>52</v>
      </c>
    </row>
    <row r="64" spans="1:8" s="8" customFormat="1" ht="15.75" customHeight="1">
      <c r="A64" s="91"/>
      <c r="B64" s="117" t="s">
        <v>159</v>
      </c>
      <c r="C64" s="39" t="s">
        <v>2</v>
      </c>
      <c r="D64" s="181">
        <v>1254</v>
      </c>
      <c r="E64" s="12">
        <v>60</v>
      </c>
      <c r="F64" s="17">
        <f t="shared" si="2"/>
        <v>752</v>
      </c>
      <c r="G64" s="28" t="s">
        <v>189</v>
      </c>
      <c r="H64" s="21" t="s">
        <v>289</v>
      </c>
    </row>
    <row r="65" spans="1:8" s="8" customFormat="1" ht="14.25" customHeight="1">
      <c r="A65" s="91"/>
      <c r="B65" s="117" t="s">
        <v>150</v>
      </c>
      <c r="C65" s="39" t="s">
        <v>2</v>
      </c>
      <c r="D65" s="181">
        <v>1254</v>
      </c>
      <c r="E65" s="12">
        <v>30</v>
      </c>
      <c r="F65" s="17">
        <f t="shared" si="2"/>
        <v>376</v>
      </c>
      <c r="G65" s="14"/>
      <c r="H65" s="21" t="s">
        <v>51</v>
      </c>
    </row>
    <row r="66" spans="1:8" s="8" customFormat="1" ht="15.75">
      <c r="A66" s="91"/>
      <c r="B66" s="117" t="s">
        <v>210</v>
      </c>
      <c r="C66" s="39" t="s">
        <v>2</v>
      </c>
      <c r="D66" s="181">
        <v>1254</v>
      </c>
      <c r="E66" s="12">
        <v>30</v>
      </c>
      <c r="F66" s="17">
        <f t="shared" si="2"/>
        <v>376</v>
      </c>
      <c r="G66" s="14"/>
      <c r="H66" s="21" t="s">
        <v>51</v>
      </c>
    </row>
    <row r="67" spans="1:8" s="8" customFormat="1" ht="13.5" customHeight="1">
      <c r="A67" s="91"/>
      <c r="B67" s="117" t="s">
        <v>395</v>
      </c>
      <c r="C67" s="39" t="s">
        <v>2</v>
      </c>
      <c r="D67" s="181">
        <v>1254</v>
      </c>
      <c r="E67" s="12">
        <v>30</v>
      </c>
      <c r="F67" s="17">
        <f t="shared" si="2"/>
        <v>376</v>
      </c>
      <c r="G67" s="12"/>
      <c r="H67" s="21" t="s">
        <v>51</v>
      </c>
    </row>
    <row r="68" spans="1:8" s="8" customFormat="1" ht="14.25" customHeight="1">
      <c r="A68" s="91"/>
      <c r="B68" s="113" t="s">
        <v>290</v>
      </c>
      <c r="C68" s="39" t="s">
        <v>2</v>
      </c>
      <c r="D68" s="181">
        <v>2337.5</v>
      </c>
      <c r="E68" s="12">
        <v>20</v>
      </c>
      <c r="F68" s="17">
        <f t="shared" si="2"/>
        <v>468</v>
      </c>
      <c r="G68" s="14"/>
      <c r="H68" s="15" t="s">
        <v>304</v>
      </c>
    </row>
    <row r="69" spans="1:8" s="8" customFormat="1" ht="14.25" customHeight="1">
      <c r="A69" s="91"/>
      <c r="B69" s="113" t="s">
        <v>290</v>
      </c>
      <c r="C69" s="39" t="s">
        <v>2</v>
      </c>
      <c r="D69" s="181">
        <v>2337.5</v>
      </c>
      <c r="E69" s="12">
        <v>10</v>
      </c>
      <c r="F69" s="17">
        <f t="shared" si="2"/>
        <v>234</v>
      </c>
      <c r="G69" s="14"/>
      <c r="H69" s="15" t="s">
        <v>344</v>
      </c>
    </row>
    <row r="70" spans="1:9" s="8" customFormat="1" ht="16.5" customHeight="1" thickBot="1">
      <c r="A70" s="92"/>
      <c r="B70" s="121" t="s">
        <v>157</v>
      </c>
      <c r="C70" s="142" t="s">
        <v>2</v>
      </c>
      <c r="D70" s="202">
        <v>2337.5</v>
      </c>
      <c r="E70" s="29">
        <v>100</v>
      </c>
      <c r="F70" s="182">
        <f t="shared" si="2"/>
        <v>2338</v>
      </c>
      <c r="G70" s="33"/>
      <c r="H70" s="34" t="s">
        <v>144</v>
      </c>
      <c r="I70" s="8" t="s">
        <v>209</v>
      </c>
    </row>
    <row r="71" spans="1:8" s="8" customFormat="1" ht="19.5" customHeight="1" thickBot="1">
      <c r="A71" s="82" t="s">
        <v>9</v>
      </c>
      <c r="B71" s="159" t="s">
        <v>326</v>
      </c>
      <c r="C71" s="107"/>
      <c r="D71" s="149"/>
      <c r="E71" s="79"/>
      <c r="F71" s="79"/>
      <c r="G71" s="79"/>
      <c r="H71" s="80"/>
    </row>
    <row r="72" spans="1:8" s="8" customFormat="1" ht="36" customHeight="1">
      <c r="A72" s="91"/>
      <c r="B72" s="169" t="s">
        <v>68</v>
      </c>
      <c r="C72" s="43" t="s">
        <v>2</v>
      </c>
      <c r="D72" s="201">
        <f>21193.7+131+3443.6+3887+1886</f>
        <v>30541.3</v>
      </c>
      <c r="E72" s="42">
        <v>50</v>
      </c>
      <c r="F72" s="69">
        <f t="shared" si="2"/>
        <v>15271</v>
      </c>
      <c r="G72" s="166"/>
      <c r="H72" s="22" t="s">
        <v>42</v>
      </c>
    </row>
    <row r="73" spans="1:8" s="8" customFormat="1" ht="15" customHeight="1">
      <c r="A73" s="99"/>
      <c r="B73" s="87" t="s">
        <v>152</v>
      </c>
      <c r="C73" s="43" t="s">
        <v>302</v>
      </c>
      <c r="D73" s="78"/>
      <c r="E73" s="12"/>
      <c r="F73" s="23">
        <v>722</v>
      </c>
      <c r="G73" s="23"/>
      <c r="H73" s="22"/>
    </row>
    <row r="74" spans="1:8" s="8" customFormat="1" ht="14.25" customHeight="1">
      <c r="A74" s="99"/>
      <c r="B74" s="113" t="s">
        <v>160</v>
      </c>
      <c r="C74" s="43" t="s">
        <v>2</v>
      </c>
      <c r="D74" s="37" t="s">
        <v>249</v>
      </c>
      <c r="E74" s="16"/>
      <c r="F74" s="32">
        <v>433</v>
      </c>
      <c r="G74" s="16" t="s">
        <v>4</v>
      </c>
      <c r="H74" s="15" t="s">
        <v>46</v>
      </c>
    </row>
    <row r="75" spans="1:8" s="8" customFormat="1" ht="13.5" customHeight="1">
      <c r="A75" s="99"/>
      <c r="B75" s="87" t="s">
        <v>174</v>
      </c>
      <c r="C75" s="43" t="s">
        <v>2</v>
      </c>
      <c r="D75" s="201">
        <v>13099.8</v>
      </c>
      <c r="E75" s="23">
        <v>70</v>
      </c>
      <c r="F75" s="17">
        <f aca="true" t="shared" si="3" ref="F75:F82">ROUND((D75*E75%),0)</f>
        <v>9170</v>
      </c>
      <c r="G75" s="35"/>
      <c r="H75" s="22" t="s">
        <v>41</v>
      </c>
    </row>
    <row r="76" spans="1:8" s="191" customFormat="1" ht="13.5" customHeight="1">
      <c r="A76" s="185"/>
      <c r="B76" s="186" t="s">
        <v>64</v>
      </c>
      <c r="C76" s="187" t="s">
        <v>2</v>
      </c>
      <c r="D76" s="211">
        <v>215</v>
      </c>
      <c r="E76" s="188">
        <v>100</v>
      </c>
      <c r="F76" s="214">
        <f t="shared" si="3"/>
        <v>215</v>
      </c>
      <c r="G76" s="189"/>
      <c r="H76" s="190" t="s">
        <v>42</v>
      </c>
    </row>
    <row r="77" spans="1:8" s="191" customFormat="1" ht="13.5" customHeight="1">
      <c r="A77" s="185"/>
      <c r="B77" s="192" t="s">
        <v>69</v>
      </c>
      <c r="C77" s="187" t="s">
        <v>2</v>
      </c>
      <c r="D77" s="211">
        <v>265.6</v>
      </c>
      <c r="E77" s="188">
        <v>100</v>
      </c>
      <c r="F77" s="214">
        <f t="shared" si="3"/>
        <v>266</v>
      </c>
      <c r="G77" s="189"/>
      <c r="H77" s="190" t="s">
        <v>42</v>
      </c>
    </row>
    <row r="78" spans="1:8" s="191" customFormat="1" ht="18" customHeight="1">
      <c r="A78" s="185"/>
      <c r="B78" s="192" t="s">
        <v>393</v>
      </c>
      <c r="C78" s="193" t="s">
        <v>2</v>
      </c>
      <c r="D78" s="209">
        <v>215</v>
      </c>
      <c r="E78" s="194">
        <v>80</v>
      </c>
      <c r="F78" s="214">
        <f t="shared" si="3"/>
        <v>172</v>
      </c>
      <c r="G78" s="194"/>
      <c r="H78" s="190" t="s">
        <v>51</v>
      </c>
    </row>
    <row r="79" spans="1:8" s="191" customFormat="1" ht="18.75" customHeight="1">
      <c r="A79" s="185"/>
      <c r="B79" s="195" t="s">
        <v>165</v>
      </c>
      <c r="C79" s="196" t="s">
        <v>2</v>
      </c>
      <c r="D79" s="212">
        <v>215</v>
      </c>
      <c r="E79" s="197">
        <v>100</v>
      </c>
      <c r="F79" s="215">
        <f t="shared" si="3"/>
        <v>215</v>
      </c>
      <c r="G79" s="198"/>
      <c r="H79" s="199" t="s">
        <v>51</v>
      </c>
    </row>
    <row r="80" spans="1:8" s="8" customFormat="1" ht="18" customHeight="1">
      <c r="A80" s="99"/>
      <c r="B80" s="113" t="s">
        <v>394</v>
      </c>
      <c r="C80" s="39" t="s">
        <v>2</v>
      </c>
      <c r="D80" s="181"/>
      <c r="E80" s="13"/>
      <c r="F80" s="17">
        <f>F74</f>
        <v>433</v>
      </c>
      <c r="G80" s="12"/>
      <c r="H80" s="22" t="s">
        <v>52</v>
      </c>
    </row>
    <row r="81" spans="1:8" s="8" customFormat="1" ht="16.5" customHeight="1">
      <c r="A81" s="99"/>
      <c r="B81" s="113" t="s">
        <v>67</v>
      </c>
      <c r="C81" s="39" t="s">
        <v>2</v>
      </c>
      <c r="D81" s="181">
        <v>3887</v>
      </c>
      <c r="E81" s="12">
        <v>70</v>
      </c>
      <c r="F81" s="17">
        <f t="shared" si="3"/>
        <v>2721</v>
      </c>
      <c r="G81" s="16" t="s">
        <v>4</v>
      </c>
      <c r="H81" s="15" t="s">
        <v>41</v>
      </c>
    </row>
    <row r="82" spans="1:8" s="8" customFormat="1" ht="15.75">
      <c r="A82" s="99"/>
      <c r="B82" s="113" t="s">
        <v>156</v>
      </c>
      <c r="C82" s="39" t="s">
        <v>2</v>
      </c>
      <c r="D82" s="181">
        <v>3443.6</v>
      </c>
      <c r="E82" s="12">
        <v>70</v>
      </c>
      <c r="F82" s="17">
        <f t="shared" si="3"/>
        <v>2411</v>
      </c>
      <c r="G82" s="16" t="s">
        <v>194</v>
      </c>
      <c r="H82" s="15" t="s">
        <v>42</v>
      </c>
    </row>
    <row r="83" spans="1:8" s="8" customFormat="1" ht="23.25" customHeight="1">
      <c r="A83" s="91"/>
      <c r="B83" s="117" t="s">
        <v>167</v>
      </c>
      <c r="C83" s="139" t="s">
        <v>38</v>
      </c>
      <c r="D83" s="77" t="s">
        <v>74</v>
      </c>
      <c r="E83" s="38">
        <v>100</v>
      </c>
      <c r="F83" s="37" t="s">
        <v>74</v>
      </c>
      <c r="G83" s="39"/>
      <c r="H83" s="465" t="s">
        <v>287</v>
      </c>
    </row>
    <row r="84" spans="1:9" s="8" customFormat="1" ht="21.75" customHeight="1">
      <c r="A84" s="91"/>
      <c r="B84" s="113" t="s">
        <v>166</v>
      </c>
      <c r="C84" s="39" t="s">
        <v>11</v>
      </c>
      <c r="D84" s="77">
        <v>3</v>
      </c>
      <c r="E84" s="40">
        <v>100</v>
      </c>
      <c r="F84" s="12">
        <v>3</v>
      </c>
      <c r="G84" s="12"/>
      <c r="H84" s="466"/>
      <c r="I84" s="8" t="s">
        <v>94</v>
      </c>
    </row>
    <row r="85" spans="1:8" s="8" customFormat="1" ht="15.75">
      <c r="A85" s="99"/>
      <c r="B85" s="113" t="s">
        <v>150</v>
      </c>
      <c r="C85" s="39" t="s">
        <v>2</v>
      </c>
      <c r="D85" s="181">
        <v>3443.6</v>
      </c>
      <c r="E85" s="12">
        <v>30</v>
      </c>
      <c r="F85" s="17">
        <f aca="true" t="shared" si="4" ref="F85:F90">ROUND((D85*E85%),0)</f>
        <v>1033</v>
      </c>
      <c r="G85" s="14"/>
      <c r="H85" s="15" t="s">
        <v>51</v>
      </c>
    </row>
    <row r="86" spans="1:8" s="8" customFormat="1" ht="16.5" customHeight="1">
      <c r="A86" s="99"/>
      <c r="B86" s="113" t="s">
        <v>210</v>
      </c>
      <c r="C86" s="39" t="s">
        <v>2</v>
      </c>
      <c r="D86" s="181">
        <v>3443.6</v>
      </c>
      <c r="E86" s="12">
        <v>30</v>
      </c>
      <c r="F86" s="17">
        <f t="shared" si="4"/>
        <v>1033</v>
      </c>
      <c r="G86" s="14"/>
      <c r="H86" s="15" t="s">
        <v>51</v>
      </c>
    </row>
    <row r="87" spans="1:8" s="8" customFormat="1" ht="15.75">
      <c r="A87" s="99"/>
      <c r="B87" s="87" t="s">
        <v>395</v>
      </c>
      <c r="C87" s="43" t="s">
        <v>2</v>
      </c>
      <c r="D87" s="181">
        <v>3443.6</v>
      </c>
      <c r="E87" s="12">
        <v>30</v>
      </c>
      <c r="F87" s="17">
        <f t="shared" si="4"/>
        <v>1033</v>
      </c>
      <c r="G87" s="23"/>
      <c r="H87" s="22" t="s">
        <v>52</v>
      </c>
    </row>
    <row r="88" spans="1:8" s="8" customFormat="1" ht="15.75">
      <c r="A88" s="99"/>
      <c r="B88" s="113" t="s">
        <v>290</v>
      </c>
      <c r="C88" s="39" t="s">
        <v>2</v>
      </c>
      <c r="D88" s="181">
        <f>21193.7+1886</f>
        <v>23079.7</v>
      </c>
      <c r="E88" s="12">
        <v>100</v>
      </c>
      <c r="F88" s="17">
        <f t="shared" si="4"/>
        <v>23080</v>
      </c>
      <c r="G88" s="14"/>
      <c r="H88" s="15" t="s">
        <v>303</v>
      </c>
    </row>
    <row r="89" spans="1:8" s="8" customFormat="1" ht="15.75">
      <c r="A89" s="99"/>
      <c r="B89" s="113" t="s">
        <v>290</v>
      </c>
      <c r="C89" s="39" t="s">
        <v>2</v>
      </c>
      <c r="D89" s="181">
        <f>21193.7+1886</f>
        <v>23079.7</v>
      </c>
      <c r="E89" s="12">
        <v>10</v>
      </c>
      <c r="F89" s="17">
        <f t="shared" si="4"/>
        <v>2308</v>
      </c>
      <c r="G89" s="14"/>
      <c r="H89" s="15" t="s">
        <v>344</v>
      </c>
    </row>
    <row r="90" spans="1:8" s="8" customFormat="1" ht="15.75" customHeight="1" thickBot="1">
      <c r="A90" s="170"/>
      <c r="B90" s="113" t="s">
        <v>157</v>
      </c>
      <c r="C90" s="39" t="s">
        <v>2</v>
      </c>
      <c r="D90" s="181">
        <f>D88</f>
        <v>23079.7</v>
      </c>
      <c r="E90" s="12">
        <v>80</v>
      </c>
      <c r="F90" s="17">
        <f t="shared" si="4"/>
        <v>18464</v>
      </c>
      <c r="G90" s="12"/>
      <c r="H90" s="21" t="s">
        <v>144</v>
      </c>
    </row>
    <row r="91" spans="1:8" s="8" customFormat="1" ht="20.25" customHeight="1" thickBot="1">
      <c r="A91" s="82" t="s">
        <v>10</v>
      </c>
      <c r="B91" s="157" t="s">
        <v>339</v>
      </c>
      <c r="C91" s="107"/>
      <c r="D91" s="149"/>
      <c r="E91" s="79"/>
      <c r="F91" s="79"/>
      <c r="G91" s="79"/>
      <c r="H91" s="80"/>
    </row>
    <row r="92" spans="1:8" s="47" customFormat="1" ht="31.5" customHeight="1">
      <c r="A92" s="99"/>
      <c r="B92" s="240" t="s">
        <v>105</v>
      </c>
      <c r="C92" s="103" t="s">
        <v>2</v>
      </c>
      <c r="D92" s="209">
        <f>10061.6+174.65+27483.3+5873.4+765+1759+1043.7+1077.2+4920.9+847+720.3+232.56-515+12289</f>
        <v>66732.61</v>
      </c>
      <c r="E92" s="241">
        <v>60</v>
      </c>
      <c r="F92" s="217">
        <f>ROUND((D92*E92%),0)</f>
        <v>40040</v>
      </c>
      <c r="G92" s="242"/>
      <c r="H92" s="51" t="s">
        <v>41</v>
      </c>
    </row>
    <row r="93" spans="1:8" s="47" customFormat="1" ht="17.25" customHeight="1">
      <c r="A93" s="99"/>
      <c r="B93" s="243" t="s">
        <v>282</v>
      </c>
      <c r="C93" s="74" t="s">
        <v>2</v>
      </c>
      <c r="D93" s="203">
        <f>1968</f>
        <v>1968</v>
      </c>
      <c r="E93" s="44">
        <v>80</v>
      </c>
      <c r="F93" s="216">
        <f>ROUND((D93*E93%),0)</f>
        <v>1574</v>
      </c>
      <c r="G93" s="54"/>
      <c r="H93" s="46" t="s">
        <v>269</v>
      </c>
    </row>
    <row r="94" spans="1:8" s="47" customFormat="1" ht="15.75">
      <c r="A94" s="99"/>
      <c r="B94" s="124" t="s">
        <v>152</v>
      </c>
      <c r="C94" s="74" t="s">
        <v>302</v>
      </c>
      <c r="D94" s="145"/>
      <c r="E94" s="44"/>
      <c r="F94" s="214">
        <f>1910+520</f>
        <v>2430</v>
      </c>
      <c r="G94" s="44"/>
      <c r="H94" s="46"/>
    </row>
    <row r="95" spans="1:8" s="47" customFormat="1" ht="15.75">
      <c r="A95" s="101"/>
      <c r="B95" s="129" t="s">
        <v>160</v>
      </c>
      <c r="C95" s="74" t="s">
        <v>2</v>
      </c>
      <c r="D95" s="419" t="s">
        <v>399</v>
      </c>
      <c r="E95" s="189"/>
      <c r="F95" s="214">
        <f>F94*0.6</f>
        <v>1458</v>
      </c>
      <c r="G95" s="50" t="s">
        <v>4</v>
      </c>
      <c r="H95" s="58" t="s">
        <v>42</v>
      </c>
    </row>
    <row r="96" spans="1:8" s="47" customFormat="1" ht="15.75">
      <c r="A96" s="101"/>
      <c r="B96" s="129" t="s">
        <v>174</v>
      </c>
      <c r="C96" s="74" t="s">
        <v>2</v>
      </c>
      <c r="D96" s="211">
        <f>19650.2+2216</f>
        <v>21866.2</v>
      </c>
      <c r="E96" s="44">
        <v>60</v>
      </c>
      <c r="F96" s="214">
        <f aca="true" t="shared" si="5" ref="F96:F101">ROUND((D96*E96%),0)</f>
        <v>13120</v>
      </c>
      <c r="G96" s="75"/>
      <c r="H96" s="58" t="s">
        <v>42</v>
      </c>
    </row>
    <row r="97" spans="1:8" s="47" customFormat="1" ht="15.75">
      <c r="A97" s="101"/>
      <c r="B97" s="129" t="s">
        <v>169</v>
      </c>
      <c r="C97" s="74" t="s">
        <v>2</v>
      </c>
      <c r="D97" s="203">
        <v>219</v>
      </c>
      <c r="E97" s="44">
        <v>100</v>
      </c>
      <c r="F97" s="216">
        <f t="shared" si="5"/>
        <v>219</v>
      </c>
      <c r="G97" s="50"/>
      <c r="H97" s="58" t="s">
        <v>42</v>
      </c>
    </row>
    <row r="98" spans="1:8" s="47" customFormat="1" ht="15.75">
      <c r="A98" s="101"/>
      <c r="B98" s="129" t="s">
        <v>173</v>
      </c>
      <c r="C98" s="74" t="s">
        <v>2</v>
      </c>
      <c r="D98" s="203">
        <v>1377</v>
      </c>
      <c r="E98" s="44">
        <v>100</v>
      </c>
      <c r="F98" s="216">
        <f t="shared" si="5"/>
        <v>1377</v>
      </c>
      <c r="G98" s="50"/>
      <c r="H98" s="58" t="s">
        <v>42</v>
      </c>
    </row>
    <row r="99" spans="1:8" s="47" customFormat="1" ht="15.75">
      <c r="A99" s="101"/>
      <c r="B99" s="129" t="s">
        <v>393</v>
      </c>
      <c r="C99" s="74" t="s">
        <v>2</v>
      </c>
      <c r="D99" s="203">
        <v>219</v>
      </c>
      <c r="E99" s="44">
        <v>80</v>
      </c>
      <c r="F99" s="216">
        <f t="shared" si="5"/>
        <v>175</v>
      </c>
      <c r="G99" s="44"/>
      <c r="H99" s="58" t="s">
        <v>51</v>
      </c>
    </row>
    <row r="100" spans="1:8" s="47" customFormat="1" ht="15.75">
      <c r="A100" s="101"/>
      <c r="B100" s="129" t="s">
        <v>165</v>
      </c>
      <c r="C100" s="74" t="s">
        <v>2</v>
      </c>
      <c r="D100" s="203">
        <v>219</v>
      </c>
      <c r="E100" s="44">
        <v>100</v>
      </c>
      <c r="F100" s="216">
        <f t="shared" si="5"/>
        <v>219</v>
      </c>
      <c r="G100" s="44"/>
      <c r="H100" s="58" t="s">
        <v>51</v>
      </c>
    </row>
    <row r="101" spans="1:8" s="47" customFormat="1" ht="15.75">
      <c r="A101" s="101"/>
      <c r="B101" s="129" t="s">
        <v>394</v>
      </c>
      <c r="C101" s="244" t="s">
        <v>2</v>
      </c>
      <c r="D101" s="211">
        <f>19650.2+2216</f>
        <v>21866.2</v>
      </c>
      <c r="E101" s="245">
        <v>6</v>
      </c>
      <c r="F101" s="216">
        <f t="shared" si="5"/>
        <v>1312</v>
      </c>
      <c r="G101" s="246"/>
      <c r="H101" s="60" t="s">
        <v>52</v>
      </c>
    </row>
    <row r="102" spans="1:8" s="47" customFormat="1" ht="15.75">
      <c r="A102" s="101"/>
      <c r="B102" s="129" t="s">
        <v>305</v>
      </c>
      <c r="C102" s="74" t="s">
        <v>106</v>
      </c>
      <c r="D102" s="145" t="s">
        <v>224</v>
      </c>
      <c r="E102" s="44">
        <v>50</v>
      </c>
      <c r="F102" s="365">
        <f>22.4*E102%</f>
        <v>11.2</v>
      </c>
      <c r="G102" s="44"/>
      <c r="H102" s="58" t="s">
        <v>52</v>
      </c>
    </row>
    <row r="103" spans="1:8" s="47" customFormat="1" ht="21" customHeight="1">
      <c r="A103" s="101"/>
      <c r="B103" s="133" t="s">
        <v>167</v>
      </c>
      <c r="C103" s="103" t="s">
        <v>73</v>
      </c>
      <c r="D103" s="247" t="s">
        <v>337</v>
      </c>
      <c r="E103" s="241">
        <v>100</v>
      </c>
      <c r="F103" s="247" t="s">
        <v>337</v>
      </c>
      <c r="G103" s="103"/>
      <c r="H103" s="469" t="s">
        <v>287</v>
      </c>
    </row>
    <row r="104" spans="1:8" s="47" customFormat="1" ht="29.25" customHeight="1">
      <c r="A104" s="101"/>
      <c r="B104" s="129" t="s">
        <v>166</v>
      </c>
      <c r="C104" s="74" t="s">
        <v>11</v>
      </c>
      <c r="D104" s="145">
        <v>17</v>
      </c>
      <c r="E104" s="173">
        <v>100</v>
      </c>
      <c r="F104" s="173">
        <v>17</v>
      </c>
      <c r="G104" s="173"/>
      <c r="H104" s="468"/>
    </row>
    <row r="105" spans="1:8" s="47" customFormat="1" ht="15.75">
      <c r="A105" s="101"/>
      <c r="B105" s="129" t="s">
        <v>276</v>
      </c>
      <c r="C105" s="103" t="s">
        <v>2</v>
      </c>
      <c r="D105" s="207">
        <v>1043.7</v>
      </c>
      <c r="E105" s="49">
        <v>70</v>
      </c>
      <c r="F105" s="208">
        <f>1043.7*70%</f>
        <v>730.59</v>
      </c>
      <c r="G105" s="49"/>
      <c r="H105" s="45" t="s">
        <v>46</v>
      </c>
    </row>
    <row r="106" spans="1:8" s="191" customFormat="1" ht="15.75">
      <c r="A106" s="345"/>
      <c r="B106" s="357" t="s">
        <v>171</v>
      </c>
      <c r="C106" s="187" t="s">
        <v>2</v>
      </c>
      <c r="D106" s="211">
        <f>11+70.31+6+43.14+141.5</f>
        <v>271.95</v>
      </c>
      <c r="E106" s="188">
        <v>100</v>
      </c>
      <c r="F106" s="214">
        <f aca="true" t="shared" si="6" ref="F106:F116">ROUND((D106*E106%),0)</f>
        <v>272</v>
      </c>
      <c r="G106" s="188"/>
      <c r="H106" s="190" t="s">
        <v>41</v>
      </c>
    </row>
    <row r="107" spans="1:8" s="47" customFormat="1" ht="15.75">
      <c r="A107" s="99"/>
      <c r="B107" s="124" t="s">
        <v>156</v>
      </c>
      <c r="C107" s="74" t="s">
        <v>2</v>
      </c>
      <c r="D107" s="211">
        <f>10061.6+174.65+1127.8+847.2+677.16+232.56+1745</f>
        <v>14865.97</v>
      </c>
      <c r="E107" s="44">
        <v>60</v>
      </c>
      <c r="F107" s="216">
        <f t="shared" si="6"/>
        <v>8920</v>
      </c>
      <c r="G107" s="50" t="s">
        <v>4</v>
      </c>
      <c r="H107" s="46" t="s">
        <v>42</v>
      </c>
    </row>
    <row r="108" spans="1:8" s="47" customFormat="1" ht="15.75">
      <c r="A108" s="99"/>
      <c r="B108" s="124" t="s">
        <v>150</v>
      </c>
      <c r="C108" s="103" t="s">
        <v>2</v>
      </c>
      <c r="D108" s="209">
        <f>D107</f>
        <v>14865.97</v>
      </c>
      <c r="E108" s="49">
        <v>30</v>
      </c>
      <c r="F108" s="216">
        <f t="shared" si="6"/>
        <v>4460</v>
      </c>
      <c r="G108" s="53"/>
      <c r="H108" s="45" t="s">
        <v>51</v>
      </c>
    </row>
    <row r="109" spans="1:8" s="47" customFormat="1" ht="15.75">
      <c r="A109" s="99"/>
      <c r="B109" s="124" t="s">
        <v>215</v>
      </c>
      <c r="C109" s="74" t="s">
        <v>2</v>
      </c>
      <c r="D109" s="211">
        <f>87.31+43.14+141.5</f>
        <v>271.95</v>
      </c>
      <c r="E109" s="44">
        <v>100</v>
      </c>
      <c r="F109" s="216">
        <f t="shared" si="6"/>
        <v>272</v>
      </c>
      <c r="G109" s="44"/>
      <c r="H109" s="45" t="s">
        <v>51</v>
      </c>
    </row>
    <row r="110" spans="1:8" s="47" customFormat="1" ht="15.75">
      <c r="A110" s="99"/>
      <c r="B110" s="122" t="s">
        <v>210</v>
      </c>
      <c r="C110" s="74" t="s">
        <v>2</v>
      </c>
      <c r="D110" s="209">
        <f>D107</f>
        <v>14865.97</v>
      </c>
      <c r="E110" s="49">
        <v>30</v>
      </c>
      <c r="F110" s="216">
        <f t="shared" si="6"/>
        <v>4460</v>
      </c>
      <c r="G110" s="53"/>
      <c r="H110" s="45" t="s">
        <v>51</v>
      </c>
    </row>
    <row r="111" spans="1:8" s="47" customFormat="1" ht="15.75">
      <c r="A111" s="99"/>
      <c r="B111" s="131" t="s">
        <v>222</v>
      </c>
      <c r="C111" s="74" t="s">
        <v>2</v>
      </c>
      <c r="D111" s="207">
        <v>18</v>
      </c>
      <c r="E111" s="44">
        <v>100</v>
      </c>
      <c r="F111" s="216">
        <f t="shared" si="6"/>
        <v>18</v>
      </c>
      <c r="G111" s="50"/>
      <c r="H111" s="51" t="s">
        <v>51</v>
      </c>
    </row>
    <row r="112" spans="1:8" s="47" customFormat="1" ht="15.75">
      <c r="A112" s="99"/>
      <c r="B112" s="124" t="s">
        <v>395</v>
      </c>
      <c r="C112" s="74" t="s">
        <v>2</v>
      </c>
      <c r="D112" s="211">
        <f>D107</f>
        <v>14865.97</v>
      </c>
      <c r="E112" s="44">
        <v>30</v>
      </c>
      <c r="F112" s="216">
        <f t="shared" si="6"/>
        <v>4460</v>
      </c>
      <c r="G112" s="44"/>
      <c r="H112" s="46" t="s">
        <v>52</v>
      </c>
    </row>
    <row r="113" spans="1:8" s="47" customFormat="1" ht="15.75">
      <c r="A113" s="99"/>
      <c r="B113" s="124" t="s">
        <v>396</v>
      </c>
      <c r="C113" s="74" t="s">
        <v>2</v>
      </c>
      <c r="D113" s="211">
        <f>D106</f>
        <v>271.95</v>
      </c>
      <c r="E113" s="44">
        <v>100</v>
      </c>
      <c r="F113" s="216">
        <f t="shared" si="6"/>
        <v>272</v>
      </c>
      <c r="G113" s="44"/>
      <c r="H113" s="46" t="s">
        <v>52</v>
      </c>
    </row>
    <row r="114" spans="1:8" s="47" customFormat="1" ht="15.75">
      <c r="A114" s="99"/>
      <c r="B114" s="124" t="s">
        <v>290</v>
      </c>
      <c r="C114" s="103" t="s">
        <v>2</v>
      </c>
      <c r="D114" s="209">
        <f>27483.3+5873.4+4920.9+8272.4</f>
        <v>46550</v>
      </c>
      <c r="E114" s="44">
        <v>50</v>
      </c>
      <c r="F114" s="216">
        <f t="shared" si="6"/>
        <v>23275</v>
      </c>
      <c r="G114" s="54"/>
      <c r="H114" s="46" t="s">
        <v>303</v>
      </c>
    </row>
    <row r="115" spans="1:8" s="47" customFormat="1" ht="15.75">
      <c r="A115" s="101"/>
      <c r="B115" s="129" t="s">
        <v>290</v>
      </c>
      <c r="C115" s="74" t="s">
        <v>2</v>
      </c>
      <c r="D115" s="211">
        <f>27483.3+5873.4+4920.9+8272.4</f>
        <v>46550</v>
      </c>
      <c r="E115" s="44">
        <v>20</v>
      </c>
      <c r="F115" s="216">
        <f t="shared" si="6"/>
        <v>9310</v>
      </c>
      <c r="G115" s="54"/>
      <c r="H115" s="58" t="s">
        <v>344</v>
      </c>
    </row>
    <row r="116" spans="1:8" s="47" customFormat="1" ht="15" customHeight="1" thickBot="1">
      <c r="A116" s="101"/>
      <c r="B116" s="129" t="s">
        <v>172</v>
      </c>
      <c r="C116" s="74" t="s">
        <v>2</v>
      </c>
      <c r="D116" s="211">
        <f>27483.3+5873.4+4920.9-515+10402</f>
        <v>48164.6</v>
      </c>
      <c r="E116" s="44">
        <v>60</v>
      </c>
      <c r="F116" s="216">
        <f t="shared" si="6"/>
        <v>28899</v>
      </c>
      <c r="G116" s="44"/>
      <c r="H116" s="58" t="s">
        <v>144</v>
      </c>
    </row>
    <row r="117" spans="1:8" s="47" customFormat="1" ht="15" customHeight="1" thickBot="1">
      <c r="A117" s="160" t="s">
        <v>12</v>
      </c>
      <c r="B117" s="251" t="s">
        <v>327</v>
      </c>
      <c r="C117" s="161"/>
      <c r="D117" s="162"/>
      <c r="E117" s="163"/>
      <c r="F117" s="163"/>
      <c r="G117" s="163"/>
      <c r="H117" s="164"/>
    </row>
    <row r="118" spans="1:8" s="47" customFormat="1" ht="15.75">
      <c r="A118" s="99"/>
      <c r="B118" s="165" t="s">
        <v>66</v>
      </c>
      <c r="C118" s="103" t="s">
        <v>2</v>
      </c>
      <c r="D118" s="207">
        <f>9161+960.7</f>
        <v>10121.7</v>
      </c>
      <c r="E118" s="49">
        <v>80</v>
      </c>
      <c r="F118" s="208">
        <f>ROUND((D118*E118%),0)</f>
        <v>8097</v>
      </c>
      <c r="G118" s="53"/>
      <c r="H118" s="51" t="s">
        <v>47</v>
      </c>
    </row>
    <row r="119" spans="1:8" s="47" customFormat="1" ht="12" customHeight="1">
      <c r="A119" s="99"/>
      <c r="B119" s="165" t="s">
        <v>152</v>
      </c>
      <c r="C119" s="103" t="s">
        <v>302</v>
      </c>
      <c r="D119" s="144"/>
      <c r="E119" s="44"/>
      <c r="F119" s="49">
        <v>461</v>
      </c>
      <c r="G119" s="49"/>
      <c r="H119" s="45"/>
    </row>
    <row r="120" spans="1:8" s="47" customFormat="1" ht="15.75">
      <c r="A120" s="99"/>
      <c r="B120" s="125" t="s">
        <v>160</v>
      </c>
      <c r="C120" s="103" t="s">
        <v>2</v>
      </c>
      <c r="D120" s="174" t="s">
        <v>250</v>
      </c>
      <c r="E120" s="50"/>
      <c r="F120" s="44">
        <v>277</v>
      </c>
      <c r="G120" s="50" t="s">
        <v>4</v>
      </c>
      <c r="H120" s="51" t="s">
        <v>306</v>
      </c>
    </row>
    <row r="121" spans="1:8" s="47" customFormat="1" ht="15.75">
      <c r="A121" s="101"/>
      <c r="B121" s="129" t="s">
        <v>174</v>
      </c>
      <c r="C121" s="74" t="s">
        <v>2</v>
      </c>
      <c r="D121" s="207">
        <v>4842.8</v>
      </c>
      <c r="E121" s="44">
        <v>60</v>
      </c>
      <c r="F121" s="216">
        <f>ROUND((D121*E121%),0)</f>
        <v>2906</v>
      </c>
      <c r="G121" s="252"/>
      <c r="H121" s="51" t="s">
        <v>42</v>
      </c>
    </row>
    <row r="122" spans="1:8" s="47" customFormat="1" ht="15.75">
      <c r="A122" s="101"/>
      <c r="B122" s="129" t="s">
        <v>56</v>
      </c>
      <c r="C122" s="74" t="s">
        <v>2</v>
      </c>
      <c r="D122" s="203">
        <v>463</v>
      </c>
      <c r="E122" s="44">
        <v>100</v>
      </c>
      <c r="F122" s="216">
        <f>ROUND((D122*E122%),0)</f>
        <v>463</v>
      </c>
      <c r="G122" s="50"/>
      <c r="H122" s="51" t="s">
        <v>7</v>
      </c>
    </row>
    <row r="123" spans="1:8" s="47" customFormat="1" ht="15.75">
      <c r="A123" s="101"/>
      <c r="B123" s="129" t="s">
        <v>394</v>
      </c>
      <c r="C123" s="74" t="s">
        <v>2</v>
      </c>
      <c r="D123" s="144"/>
      <c r="E123" s="249"/>
      <c r="F123" s="216">
        <f>F120</f>
        <v>277</v>
      </c>
      <c r="G123" s="44"/>
      <c r="H123" s="46" t="s">
        <v>52</v>
      </c>
    </row>
    <row r="124" spans="1:8" s="47" customFormat="1" ht="16.5" customHeight="1">
      <c r="A124" s="101"/>
      <c r="B124" s="129" t="s">
        <v>305</v>
      </c>
      <c r="C124" s="74" t="s">
        <v>106</v>
      </c>
      <c r="D124" s="144" t="s">
        <v>107</v>
      </c>
      <c r="E124" s="44">
        <v>50</v>
      </c>
      <c r="F124" s="253">
        <f>5.85*50%</f>
        <v>2.925</v>
      </c>
      <c r="G124" s="44"/>
      <c r="H124" s="46" t="s">
        <v>52</v>
      </c>
    </row>
    <row r="125" spans="1:8" s="47" customFormat="1" ht="24" customHeight="1">
      <c r="A125" s="101"/>
      <c r="B125" s="129" t="s">
        <v>167</v>
      </c>
      <c r="C125" s="172" t="s">
        <v>38</v>
      </c>
      <c r="D125" s="144" t="s">
        <v>75</v>
      </c>
      <c r="E125" s="241">
        <v>100</v>
      </c>
      <c r="F125" s="254" t="s">
        <v>74</v>
      </c>
      <c r="G125" s="103"/>
      <c r="H125" s="467" t="s">
        <v>287</v>
      </c>
    </row>
    <row r="126" spans="1:8" s="47" customFormat="1" ht="23.25" customHeight="1">
      <c r="A126" s="101"/>
      <c r="B126" s="129" t="s">
        <v>166</v>
      </c>
      <c r="C126" s="74" t="s">
        <v>11</v>
      </c>
      <c r="D126" s="145">
        <v>1</v>
      </c>
      <c r="E126" s="173">
        <v>100</v>
      </c>
      <c r="F126" s="173">
        <v>1</v>
      </c>
      <c r="G126" s="44"/>
      <c r="H126" s="468"/>
    </row>
    <row r="127" spans="1:8" s="47" customFormat="1" ht="15.75">
      <c r="A127" s="99"/>
      <c r="B127" s="165" t="s">
        <v>156</v>
      </c>
      <c r="C127" s="103" t="s">
        <v>2</v>
      </c>
      <c r="D127" s="207">
        <v>960.7</v>
      </c>
      <c r="E127" s="44">
        <v>40</v>
      </c>
      <c r="F127" s="216">
        <f aca="true" t="shared" si="7" ref="F127:F135">ROUND((D127*E127%),0)</f>
        <v>384</v>
      </c>
      <c r="G127" s="50" t="s">
        <v>5</v>
      </c>
      <c r="H127" s="46" t="s">
        <v>42</v>
      </c>
    </row>
    <row r="128" spans="1:8" s="47" customFormat="1" ht="15.75">
      <c r="A128" s="99"/>
      <c r="B128" s="125" t="s">
        <v>150</v>
      </c>
      <c r="C128" s="74" t="s">
        <v>2</v>
      </c>
      <c r="D128" s="207">
        <v>960.7</v>
      </c>
      <c r="E128" s="44">
        <v>30</v>
      </c>
      <c r="F128" s="216">
        <f t="shared" si="7"/>
        <v>288</v>
      </c>
      <c r="G128" s="54"/>
      <c r="H128" s="46" t="s">
        <v>51</v>
      </c>
    </row>
    <row r="129" spans="1:8" s="47" customFormat="1" ht="15.75">
      <c r="A129" s="99"/>
      <c r="B129" s="125" t="s">
        <v>210</v>
      </c>
      <c r="C129" s="74" t="s">
        <v>2</v>
      </c>
      <c r="D129" s="207">
        <v>960.7</v>
      </c>
      <c r="E129" s="44">
        <v>30</v>
      </c>
      <c r="F129" s="216">
        <f t="shared" si="7"/>
        <v>288</v>
      </c>
      <c r="G129" s="54"/>
      <c r="H129" s="46" t="s">
        <v>51</v>
      </c>
    </row>
    <row r="130" spans="1:8" s="47" customFormat="1" ht="31.5">
      <c r="A130" s="99"/>
      <c r="B130" s="125" t="s">
        <v>395</v>
      </c>
      <c r="C130" s="74" t="s">
        <v>2</v>
      </c>
      <c r="D130" s="207">
        <v>960.7</v>
      </c>
      <c r="E130" s="44">
        <v>30</v>
      </c>
      <c r="F130" s="216">
        <f t="shared" si="7"/>
        <v>288</v>
      </c>
      <c r="G130" s="44"/>
      <c r="H130" s="51" t="s">
        <v>307</v>
      </c>
    </row>
    <row r="131" spans="1:8" s="47" customFormat="1" ht="15.75">
      <c r="A131" s="99"/>
      <c r="B131" s="124" t="s">
        <v>290</v>
      </c>
      <c r="C131" s="74" t="s">
        <v>2</v>
      </c>
      <c r="D131" s="203">
        <v>9161</v>
      </c>
      <c r="E131" s="44">
        <v>80</v>
      </c>
      <c r="F131" s="216">
        <f t="shared" si="7"/>
        <v>7329</v>
      </c>
      <c r="G131" s="54"/>
      <c r="H131" s="46" t="s">
        <v>303</v>
      </c>
    </row>
    <row r="132" spans="1:8" s="47" customFormat="1" ht="15.75">
      <c r="A132" s="99"/>
      <c r="B132" s="124" t="s">
        <v>290</v>
      </c>
      <c r="C132" s="74" t="s">
        <v>2</v>
      </c>
      <c r="D132" s="203">
        <v>9161</v>
      </c>
      <c r="E132" s="44">
        <v>10</v>
      </c>
      <c r="F132" s="216">
        <f t="shared" si="7"/>
        <v>916</v>
      </c>
      <c r="G132" s="54"/>
      <c r="H132" s="46" t="s">
        <v>344</v>
      </c>
    </row>
    <row r="133" spans="1:8" s="47" customFormat="1" ht="16.5" thickBot="1">
      <c r="A133" s="100"/>
      <c r="B133" s="136" t="s">
        <v>157</v>
      </c>
      <c r="C133" s="143" t="s">
        <v>2</v>
      </c>
      <c r="D133" s="204">
        <v>9161</v>
      </c>
      <c r="E133" s="61">
        <v>80</v>
      </c>
      <c r="F133" s="255">
        <f t="shared" si="7"/>
        <v>7329</v>
      </c>
      <c r="G133" s="55"/>
      <c r="H133" s="56" t="s">
        <v>144</v>
      </c>
    </row>
    <row r="134" spans="1:8" s="47" customFormat="1" ht="15.75" customHeight="1" thickBot="1">
      <c r="A134" s="160" t="s">
        <v>13</v>
      </c>
      <c r="B134" s="251" t="s">
        <v>328</v>
      </c>
      <c r="C134" s="161"/>
      <c r="D134" s="162"/>
      <c r="E134" s="163"/>
      <c r="F134" s="163"/>
      <c r="G134" s="163"/>
      <c r="H134" s="164"/>
    </row>
    <row r="135" spans="1:8" s="47" customFormat="1" ht="15.75">
      <c r="A135" s="104"/>
      <c r="B135" s="220" t="s">
        <v>58</v>
      </c>
      <c r="C135" s="106" t="s">
        <v>2</v>
      </c>
      <c r="D135" s="206">
        <f>7664.43+3056.9</f>
        <v>10721.33</v>
      </c>
      <c r="E135" s="256">
        <v>80</v>
      </c>
      <c r="F135" s="257">
        <f t="shared" si="7"/>
        <v>8577</v>
      </c>
      <c r="G135" s="258"/>
      <c r="H135" s="259" t="s">
        <v>47</v>
      </c>
    </row>
    <row r="136" spans="1:8" s="47" customFormat="1" ht="13.5" customHeight="1">
      <c r="A136" s="99"/>
      <c r="B136" s="124" t="s">
        <v>152</v>
      </c>
      <c r="C136" s="74" t="s">
        <v>302</v>
      </c>
      <c r="D136" s="145" t="s">
        <v>79</v>
      </c>
      <c r="E136" s="44"/>
      <c r="F136" s="44">
        <f>610*2</f>
        <v>1220</v>
      </c>
      <c r="G136" s="44"/>
      <c r="H136" s="46"/>
    </row>
    <row r="137" spans="1:8" s="47" customFormat="1" ht="15.75">
      <c r="A137" s="99"/>
      <c r="B137" s="124" t="s">
        <v>160</v>
      </c>
      <c r="C137" s="103" t="s">
        <v>2</v>
      </c>
      <c r="D137" s="174" t="s">
        <v>251</v>
      </c>
      <c r="E137" s="50"/>
      <c r="F137" s="208">
        <f>F136*0.6</f>
        <v>732</v>
      </c>
      <c r="G137" s="50" t="s">
        <v>5</v>
      </c>
      <c r="H137" s="51" t="s">
        <v>7</v>
      </c>
    </row>
    <row r="138" spans="1:8" s="47" customFormat="1" ht="15.75">
      <c r="A138" s="99"/>
      <c r="B138" s="124" t="s">
        <v>174</v>
      </c>
      <c r="C138" s="103" t="s">
        <v>2</v>
      </c>
      <c r="D138" s="207">
        <v>10136.6</v>
      </c>
      <c r="E138" s="44">
        <v>60</v>
      </c>
      <c r="F138" s="216">
        <f>ROUND((D138*E138%),0)</f>
        <v>6082</v>
      </c>
      <c r="G138" s="75"/>
      <c r="H138" s="51" t="s">
        <v>7</v>
      </c>
    </row>
    <row r="139" spans="1:8" s="47" customFormat="1" ht="15.75">
      <c r="A139" s="99"/>
      <c r="B139" s="124" t="s">
        <v>64</v>
      </c>
      <c r="C139" s="74" t="s">
        <v>2</v>
      </c>
      <c r="D139" s="203">
        <v>238</v>
      </c>
      <c r="E139" s="44">
        <v>100</v>
      </c>
      <c r="F139" s="216">
        <f>ROUND((D139*E139%),0)</f>
        <v>238</v>
      </c>
      <c r="G139" s="50"/>
      <c r="H139" s="51" t="s">
        <v>46</v>
      </c>
    </row>
    <row r="140" spans="1:8" s="47" customFormat="1" ht="15.75">
      <c r="A140" s="99"/>
      <c r="B140" s="124" t="s">
        <v>173</v>
      </c>
      <c r="C140" s="74" t="s">
        <v>2</v>
      </c>
      <c r="D140" s="203">
        <v>376</v>
      </c>
      <c r="E140" s="44">
        <v>100</v>
      </c>
      <c r="F140" s="216">
        <f>ROUND((D140*E140%),0)</f>
        <v>376</v>
      </c>
      <c r="G140" s="50"/>
      <c r="H140" s="51" t="s">
        <v>46</v>
      </c>
    </row>
    <row r="141" spans="1:8" s="47" customFormat="1" ht="15.75">
      <c r="A141" s="99"/>
      <c r="B141" s="124" t="s">
        <v>393</v>
      </c>
      <c r="C141" s="74" t="s">
        <v>2</v>
      </c>
      <c r="D141" s="203">
        <v>238</v>
      </c>
      <c r="E141" s="44">
        <v>100</v>
      </c>
      <c r="F141" s="216">
        <f>ROUND((D141*E141%),0)</f>
        <v>238</v>
      </c>
      <c r="G141" s="44"/>
      <c r="H141" s="46" t="s">
        <v>52</v>
      </c>
    </row>
    <row r="142" spans="1:8" s="47" customFormat="1" ht="15.75">
      <c r="A142" s="99"/>
      <c r="B142" s="124" t="s">
        <v>165</v>
      </c>
      <c r="C142" s="74" t="s">
        <v>2</v>
      </c>
      <c r="D142" s="203">
        <v>238</v>
      </c>
      <c r="E142" s="44">
        <v>100</v>
      </c>
      <c r="F142" s="216">
        <f>ROUND((D142*E142%),0)</f>
        <v>238</v>
      </c>
      <c r="G142" s="44"/>
      <c r="H142" s="46" t="s">
        <v>51</v>
      </c>
    </row>
    <row r="143" spans="1:8" s="47" customFormat="1" ht="15.75">
      <c r="A143" s="99"/>
      <c r="B143" s="124" t="s">
        <v>394</v>
      </c>
      <c r="C143" s="74" t="s">
        <v>2</v>
      </c>
      <c r="D143" s="145"/>
      <c r="E143" s="249"/>
      <c r="F143" s="216">
        <f>F137</f>
        <v>732</v>
      </c>
      <c r="G143" s="44"/>
      <c r="H143" s="46" t="s">
        <v>52</v>
      </c>
    </row>
    <row r="144" spans="1:8" s="47" customFormat="1" ht="15.75">
      <c r="A144" s="99"/>
      <c r="B144" s="129" t="s">
        <v>305</v>
      </c>
      <c r="C144" s="74" t="s">
        <v>106</v>
      </c>
      <c r="D144" s="145" t="s">
        <v>112</v>
      </c>
      <c r="E144" s="44">
        <v>50</v>
      </c>
      <c r="F144" s="44">
        <f>11.9*50%</f>
        <v>5.95</v>
      </c>
      <c r="G144" s="44"/>
      <c r="H144" s="46" t="s">
        <v>52</v>
      </c>
    </row>
    <row r="145" spans="1:8" s="47" customFormat="1" ht="47.25">
      <c r="A145" s="101"/>
      <c r="B145" s="129" t="s">
        <v>167</v>
      </c>
      <c r="C145" s="172" t="s">
        <v>38</v>
      </c>
      <c r="D145" s="144" t="s">
        <v>132</v>
      </c>
      <c r="E145" s="241">
        <v>100</v>
      </c>
      <c r="F145" s="247" t="str">
        <f>D145</f>
        <v>1/4,8</v>
      </c>
      <c r="G145" s="103"/>
      <c r="H145" s="260" t="s">
        <v>287</v>
      </c>
    </row>
    <row r="146" spans="1:8" s="47" customFormat="1" ht="15.75">
      <c r="A146" s="99"/>
      <c r="B146" s="124" t="s">
        <v>156</v>
      </c>
      <c r="C146" s="74" t="s">
        <v>2</v>
      </c>
      <c r="D146" s="203">
        <v>3056.9</v>
      </c>
      <c r="E146" s="44">
        <v>50</v>
      </c>
      <c r="F146" s="216">
        <f aca="true" t="shared" si="8" ref="F146:F155">ROUND((D146*E146%),0)</f>
        <v>1528</v>
      </c>
      <c r="G146" s="50" t="s">
        <v>194</v>
      </c>
      <c r="H146" s="51" t="s">
        <v>7</v>
      </c>
    </row>
    <row r="147" spans="1:8" s="47" customFormat="1" ht="15.75">
      <c r="A147" s="99"/>
      <c r="B147" s="124" t="s">
        <v>150</v>
      </c>
      <c r="C147" s="74" t="s">
        <v>2</v>
      </c>
      <c r="D147" s="203">
        <v>3056.9</v>
      </c>
      <c r="E147" s="44">
        <v>30</v>
      </c>
      <c r="F147" s="216">
        <f t="shared" si="8"/>
        <v>917</v>
      </c>
      <c r="G147" s="54"/>
      <c r="H147" s="46" t="s">
        <v>51</v>
      </c>
    </row>
    <row r="148" spans="1:8" s="47" customFormat="1" ht="18" customHeight="1">
      <c r="A148" s="99"/>
      <c r="B148" s="124" t="s">
        <v>210</v>
      </c>
      <c r="C148" s="74" t="s">
        <v>2</v>
      </c>
      <c r="D148" s="203">
        <v>3056.9</v>
      </c>
      <c r="E148" s="44">
        <v>30</v>
      </c>
      <c r="F148" s="216">
        <f t="shared" si="8"/>
        <v>917</v>
      </c>
      <c r="G148" s="54"/>
      <c r="H148" s="46" t="s">
        <v>51</v>
      </c>
    </row>
    <row r="149" spans="1:8" s="47" customFormat="1" ht="15.75">
      <c r="A149" s="99"/>
      <c r="B149" s="131" t="s">
        <v>222</v>
      </c>
      <c r="C149" s="103" t="s">
        <v>2</v>
      </c>
      <c r="D149" s="207">
        <v>6</v>
      </c>
      <c r="E149" s="49">
        <v>100</v>
      </c>
      <c r="F149" s="216">
        <f t="shared" si="8"/>
        <v>6</v>
      </c>
      <c r="G149" s="64"/>
      <c r="H149" s="51" t="s">
        <v>51</v>
      </c>
    </row>
    <row r="150" spans="1:8" s="47" customFormat="1" ht="15.75">
      <c r="A150" s="99"/>
      <c r="B150" s="134" t="s">
        <v>395</v>
      </c>
      <c r="C150" s="223" t="s">
        <v>2</v>
      </c>
      <c r="D150" s="261">
        <v>3056.9</v>
      </c>
      <c r="E150" s="225">
        <v>30</v>
      </c>
      <c r="F150" s="250">
        <f t="shared" si="8"/>
        <v>917</v>
      </c>
      <c r="G150" s="225"/>
      <c r="H150" s="248" t="s">
        <v>51</v>
      </c>
    </row>
    <row r="151" spans="1:8" s="47" customFormat="1" ht="15.75">
      <c r="A151" s="101"/>
      <c r="B151" s="129" t="s">
        <v>290</v>
      </c>
      <c r="C151" s="74" t="s">
        <v>2</v>
      </c>
      <c r="D151" s="203">
        <v>7664.43</v>
      </c>
      <c r="E151" s="44">
        <v>70</v>
      </c>
      <c r="F151" s="216">
        <f t="shared" si="8"/>
        <v>5365</v>
      </c>
      <c r="G151" s="54"/>
      <c r="H151" s="58" t="s">
        <v>303</v>
      </c>
    </row>
    <row r="152" spans="1:8" s="47" customFormat="1" ht="15.75">
      <c r="A152" s="101"/>
      <c r="B152" s="129" t="s">
        <v>290</v>
      </c>
      <c r="C152" s="74" t="s">
        <v>2</v>
      </c>
      <c r="D152" s="203">
        <v>7664.43</v>
      </c>
      <c r="E152" s="44">
        <v>10</v>
      </c>
      <c r="F152" s="216">
        <f t="shared" si="8"/>
        <v>766</v>
      </c>
      <c r="G152" s="54"/>
      <c r="H152" s="58" t="s">
        <v>344</v>
      </c>
    </row>
    <row r="153" spans="1:8" s="47" customFormat="1" ht="16.5" customHeight="1" thickBot="1">
      <c r="A153" s="262"/>
      <c r="B153" s="130" t="s">
        <v>157</v>
      </c>
      <c r="C153" s="102" t="s">
        <v>2</v>
      </c>
      <c r="D153" s="205">
        <v>7664.43</v>
      </c>
      <c r="E153" s="61">
        <v>80</v>
      </c>
      <c r="F153" s="255">
        <f t="shared" si="8"/>
        <v>6132</v>
      </c>
      <c r="G153" s="61"/>
      <c r="H153" s="63" t="s">
        <v>144</v>
      </c>
    </row>
    <row r="154" spans="1:8" s="47" customFormat="1" ht="15" customHeight="1" thickBot="1">
      <c r="A154" s="160" t="s">
        <v>14</v>
      </c>
      <c r="B154" s="251" t="s">
        <v>329</v>
      </c>
      <c r="C154" s="161"/>
      <c r="D154" s="162"/>
      <c r="E154" s="163"/>
      <c r="F154" s="163"/>
      <c r="G154" s="163"/>
      <c r="H154" s="164"/>
    </row>
    <row r="155" spans="1:8" s="47" customFormat="1" ht="15" customHeight="1">
      <c r="A155" s="99"/>
      <c r="B155" s="122" t="s">
        <v>65</v>
      </c>
      <c r="C155" s="103" t="s">
        <v>2</v>
      </c>
      <c r="D155" s="209">
        <f>9763.6+8942.1+558.3</f>
        <v>19264</v>
      </c>
      <c r="E155" s="49">
        <v>80</v>
      </c>
      <c r="F155" s="208">
        <f t="shared" si="8"/>
        <v>15411</v>
      </c>
      <c r="G155" s="53"/>
      <c r="H155" s="51" t="s">
        <v>41</v>
      </c>
    </row>
    <row r="156" spans="1:8" s="47" customFormat="1" ht="15.75">
      <c r="A156" s="101"/>
      <c r="B156" s="129" t="s">
        <v>152</v>
      </c>
      <c r="C156" s="74" t="s">
        <v>302</v>
      </c>
      <c r="D156" s="145" t="s">
        <v>80</v>
      </c>
      <c r="E156" s="44"/>
      <c r="F156" s="44">
        <v>1395</v>
      </c>
      <c r="G156" s="44"/>
      <c r="H156" s="58"/>
    </row>
    <row r="157" spans="1:8" s="47" customFormat="1" ht="15.75">
      <c r="A157" s="101"/>
      <c r="B157" s="129" t="s">
        <v>160</v>
      </c>
      <c r="C157" s="74" t="s">
        <v>2</v>
      </c>
      <c r="D157" s="174" t="s">
        <v>252</v>
      </c>
      <c r="E157" s="50"/>
      <c r="F157" s="44">
        <f>F156*0.6</f>
        <v>837</v>
      </c>
      <c r="G157" s="50" t="s">
        <v>345</v>
      </c>
      <c r="H157" s="58" t="s">
        <v>47</v>
      </c>
    </row>
    <row r="158" spans="1:8" s="47" customFormat="1" ht="15.75">
      <c r="A158" s="99"/>
      <c r="B158" s="135" t="s">
        <v>174</v>
      </c>
      <c r="C158" s="74" t="s">
        <v>2</v>
      </c>
      <c r="D158" s="203">
        <v>11007.4</v>
      </c>
      <c r="E158" s="44">
        <v>70</v>
      </c>
      <c r="F158" s="216">
        <f>ROUND((D158*E158%),0)</f>
        <v>7705</v>
      </c>
      <c r="G158" s="75"/>
      <c r="H158" s="58" t="s">
        <v>47</v>
      </c>
    </row>
    <row r="159" spans="1:8" s="47" customFormat="1" ht="15.75">
      <c r="A159" s="101"/>
      <c r="B159" s="133" t="s">
        <v>173</v>
      </c>
      <c r="C159" s="103" t="s">
        <v>2</v>
      </c>
      <c r="D159" s="207">
        <v>1186</v>
      </c>
      <c r="E159" s="49">
        <v>100</v>
      </c>
      <c r="F159" s="216">
        <f>ROUND((D159*E159%),0)</f>
        <v>1186</v>
      </c>
      <c r="G159" s="64"/>
      <c r="H159" s="51" t="s">
        <v>47</v>
      </c>
    </row>
    <row r="160" spans="1:8" s="47" customFormat="1" ht="15.75">
      <c r="A160" s="101"/>
      <c r="B160" s="129" t="s">
        <v>394</v>
      </c>
      <c r="C160" s="74" t="s">
        <v>2</v>
      </c>
      <c r="D160" s="145"/>
      <c r="E160" s="249"/>
      <c r="F160" s="216">
        <f>F157</f>
        <v>837</v>
      </c>
      <c r="G160" s="44"/>
      <c r="H160" s="58" t="s">
        <v>52</v>
      </c>
    </row>
    <row r="161" spans="1:8" s="47" customFormat="1" ht="15.75">
      <c r="A161" s="101"/>
      <c r="B161" s="129" t="s">
        <v>305</v>
      </c>
      <c r="C161" s="103" t="s">
        <v>106</v>
      </c>
      <c r="D161" s="144" t="s">
        <v>114</v>
      </c>
      <c r="E161" s="49">
        <v>50</v>
      </c>
      <c r="F161" s="65">
        <f>22.09*50%</f>
        <v>11.045</v>
      </c>
      <c r="G161" s="49"/>
      <c r="H161" s="51" t="s">
        <v>52</v>
      </c>
    </row>
    <row r="162" spans="1:8" s="47" customFormat="1" ht="15.75">
      <c r="A162" s="101"/>
      <c r="B162" s="129" t="s">
        <v>167</v>
      </c>
      <c r="C162" s="74" t="s">
        <v>73</v>
      </c>
      <c r="D162" s="145" t="s">
        <v>132</v>
      </c>
      <c r="E162" s="44">
        <v>100</v>
      </c>
      <c r="F162" s="263" t="s">
        <v>132</v>
      </c>
      <c r="G162" s="50"/>
      <c r="H162" s="467" t="s">
        <v>287</v>
      </c>
    </row>
    <row r="163" spans="1:8" s="47" customFormat="1" ht="15.75">
      <c r="A163" s="101"/>
      <c r="B163" s="129" t="s">
        <v>166</v>
      </c>
      <c r="C163" s="74" t="s">
        <v>11</v>
      </c>
      <c r="D163" s="145">
        <v>1</v>
      </c>
      <c r="E163" s="44">
        <v>100</v>
      </c>
      <c r="F163" s="44">
        <v>1</v>
      </c>
      <c r="G163" s="44"/>
      <c r="H163" s="468"/>
    </row>
    <row r="164" spans="1:8" s="47" customFormat="1" ht="15.75">
      <c r="A164" s="101"/>
      <c r="B164" s="129" t="s">
        <v>159</v>
      </c>
      <c r="C164" s="74" t="s">
        <v>2</v>
      </c>
      <c r="D164" s="211">
        <f>9763.6+558.4</f>
        <v>10322</v>
      </c>
      <c r="E164" s="44">
        <v>60</v>
      </c>
      <c r="F164" s="216">
        <f aca="true" t="shared" si="9" ref="F164:F174">ROUND((D164*E164%),0)</f>
        <v>6193</v>
      </c>
      <c r="G164" s="50" t="s">
        <v>345</v>
      </c>
      <c r="H164" s="58" t="s">
        <v>42</v>
      </c>
    </row>
    <row r="165" spans="1:8" s="47" customFormat="1" ht="15.75">
      <c r="A165" s="101"/>
      <c r="B165" s="129" t="s">
        <v>171</v>
      </c>
      <c r="C165" s="74" t="s">
        <v>2</v>
      </c>
      <c r="D165" s="203">
        <v>231.6</v>
      </c>
      <c r="E165" s="44">
        <v>100</v>
      </c>
      <c r="F165" s="216">
        <f t="shared" si="9"/>
        <v>232</v>
      </c>
      <c r="G165" s="44"/>
      <c r="H165" s="46" t="s">
        <v>41</v>
      </c>
    </row>
    <row r="166" spans="1:8" s="47" customFormat="1" ht="15.75">
      <c r="A166" s="99"/>
      <c r="B166" s="124" t="s">
        <v>150</v>
      </c>
      <c r="C166" s="74" t="s">
        <v>2</v>
      </c>
      <c r="D166" s="209">
        <f>9763.6+558.4</f>
        <v>10322</v>
      </c>
      <c r="E166" s="44">
        <v>30</v>
      </c>
      <c r="F166" s="216">
        <f t="shared" si="9"/>
        <v>3097</v>
      </c>
      <c r="G166" s="54"/>
      <c r="H166" s="46" t="s">
        <v>51</v>
      </c>
    </row>
    <row r="167" spans="1:8" s="47" customFormat="1" ht="15.75">
      <c r="A167" s="99"/>
      <c r="B167" s="124" t="s">
        <v>215</v>
      </c>
      <c r="C167" s="74" t="s">
        <v>2</v>
      </c>
      <c r="D167" s="203">
        <v>231.6</v>
      </c>
      <c r="E167" s="44">
        <v>100</v>
      </c>
      <c r="F167" s="216">
        <f t="shared" si="9"/>
        <v>232</v>
      </c>
      <c r="G167" s="44"/>
      <c r="H167" s="45" t="s">
        <v>51</v>
      </c>
    </row>
    <row r="168" spans="1:8" s="47" customFormat="1" ht="15.75">
      <c r="A168" s="99"/>
      <c r="B168" s="122" t="s">
        <v>210</v>
      </c>
      <c r="C168" s="103" t="s">
        <v>2</v>
      </c>
      <c r="D168" s="209">
        <f>9763.6</f>
        <v>9763.6</v>
      </c>
      <c r="E168" s="44">
        <v>30</v>
      </c>
      <c r="F168" s="216">
        <f t="shared" si="9"/>
        <v>2929</v>
      </c>
      <c r="G168" s="53"/>
      <c r="H168" s="45" t="s">
        <v>51</v>
      </c>
    </row>
    <row r="169" spans="1:8" s="47" customFormat="1" ht="15.75">
      <c r="A169" s="99"/>
      <c r="B169" s="131" t="s">
        <v>222</v>
      </c>
      <c r="C169" s="74" t="s">
        <v>2</v>
      </c>
      <c r="D169" s="207">
        <v>54</v>
      </c>
      <c r="E169" s="44">
        <v>100</v>
      </c>
      <c r="F169" s="216">
        <f t="shared" si="9"/>
        <v>54</v>
      </c>
      <c r="G169" s="50"/>
      <c r="H169" s="51" t="s">
        <v>51</v>
      </c>
    </row>
    <row r="170" spans="1:8" s="47" customFormat="1" ht="15.75">
      <c r="A170" s="99"/>
      <c r="B170" s="124" t="s">
        <v>395</v>
      </c>
      <c r="C170" s="74" t="s">
        <v>2</v>
      </c>
      <c r="D170" s="207">
        <v>9763.6</v>
      </c>
      <c r="E170" s="44">
        <v>30</v>
      </c>
      <c r="F170" s="216">
        <f t="shared" si="9"/>
        <v>2929</v>
      </c>
      <c r="G170" s="44"/>
      <c r="H170" s="46" t="s">
        <v>52</v>
      </c>
    </row>
    <row r="171" spans="1:8" s="47" customFormat="1" ht="15.75">
      <c r="A171" s="99"/>
      <c r="B171" s="124" t="s">
        <v>396</v>
      </c>
      <c r="C171" s="74" t="s">
        <v>2</v>
      </c>
      <c r="D171" s="203">
        <v>231.6</v>
      </c>
      <c r="E171" s="44">
        <v>100</v>
      </c>
      <c r="F171" s="216">
        <f t="shared" si="9"/>
        <v>232</v>
      </c>
      <c r="G171" s="44"/>
      <c r="H171" s="46" t="s">
        <v>52</v>
      </c>
    </row>
    <row r="172" spans="1:8" s="47" customFormat="1" ht="15.75">
      <c r="A172" s="99"/>
      <c r="B172" s="124" t="s">
        <v>290</v>
      </c>
      <c r="C172" s="74" t="s">
        <v>2</v>
      </c>
      <c r="D172" s="203">
        <v>8942.1</v>
      </c>
      <c r="E172" s="44">
        <v>90</v>
      </c>
      <c r="F172" s="216">
        <f t="shared" si="9"/>
        <v>8048</v>
      </c>
      <c r="G172" s="54"/>
      <c r="H172" s="46" t="s">
        <v>303</v>
      </c>
    </row>
    <row r="173" spans="1:8" s="47" customFormat="1" ht="15" customHeight="1">
      <c r="A173" s="99"/>
      <c r="B173" s="124" t="s">
        <v>290</v>
      </c>
      <c r="C173" s="74" t="s">
        <v>2</v>
      </c>
      <c r="D173" s="203">
        <v>8942.1</v>
      </c>
      <c r="E173" s="44">
        <v>10</v>
      </c>
      <c r="F173" s="216">
        <f t="shared" si="9"/>
        <v>894</v>
      </c>
      <c r="G173" s="54"/>
      <c r="H173" s="46" t="s">
        <v>344</v>
      </c>
    </row>
    <row r="174" spans="1:8" s="47" customFormat="1" ht="15.75" customHeight="1" thickBot="1">
      <c r="A174" s="262"/>
      <c r="B174" s="130" t="s">
        <v>157</v>
      </c>
      <c r="C174" s="102" t="s">
        <v>2</v>
      </c>
      <c r="D174" s="204">
        <v>8942.1</v>
      </c>
      <c r="E174" s="264">
        <v>60</v>
      </c>
      <c r="F174" s="255">
        <f t="shared" si="9"/>
        <v>5365</v>
      </c>
      <c r="G174" s="55"/>
      <c r="H174" s="63" t="s">
        <v>144</v>
      </c>
    </row>
    <row r="175" spans="1:8" s="47" customFormat="1" ht="18.75" customHeight="1" thickBot="1">
      <c r="A175" s="160" t="s">
        <v>15</v>
      </c>
      <c r="B175" s="159" t="s">
        <v>330</v>
      </c>
      <c r="C175" s="161"/>
      <c r="D175" s="162"/>
      <c r="E175" s="163"/>
      <c r="F175" s="163"/>
      <c r="G175" s="163"/>
      <c r="H175" s="164"/>
    </row>
    <row r="176" spans="1:8" s="47" customFormat="1" ht="32.25" customHeight="1">
      <c r="A176" s="99"/>
      <c r="B176" s="171" t="s">
        <v>277</v>
      </c>
      <c r="C176" s="103" t="s">
        <v>2</v>
      </c>
      <c r="D176" s="207">
        <f>5764+6605.5+218.6+350.73</f>
        <v>12938.83</v>
      </c>
      <c r="E176" s="241">
        <v>80</v>
      </c>
      <c r="F176" s="217">
        <f>ROUND((D176*E176%),0)</f>
        <v>10351</v>
      </c>
      <c r="G176" s="59"/>
      <c r="H176" s="51" t="s">
        <v>42</v>
      </c>
    </row>
    <row r="177" spans="1:8" s="47" customFormat="1" ht="15.75">
      <c r="A177" s="99"/>
      <c r="B177" s="124" t="s">
        <v>59</v>
      </c>
      <c r="C177" s="74" t="s">
        <v>2</v>
      </c>
      <c r="D177" s="203">
        <v>900</v>
      </c>
      <c r="E177" s="44">
        <v>70</v>
      </c>
      <c r="F177" s="216">
        <f>D177*70%</f>
        <v>630</v>
      </c>
      <c r="G177" s="75"/>
      <c r="H177" s="58" t="s">
        <v>72</v>
      </c>
    </row>
    <row r="178" spans="1:8" s="47" customFormat="1" ht="15.75">
      <c r="A178" s="99"/>
      <c r="B178" s="122" t="s">
        <v>152</v>
      </c>
      <c r="C178" s="103" t="s">
        <v>302</v>
      </c>
      <c r="D178" s="144"/>
      <c r="E178" s="49"/>
      <c r="F178" s="49">
        <v>761.8</v>
      </c>
      <c r="G178" s="49"/>
      <c r="H178" s="45"/>
    </row>
    <row r="179" spans="1:8" s="47" customFormat="1" ht="15.75">
      <c r="A179" s="99"/>
      <c r="B179" s="124" t="s">
        <v>160</v>
      </c>
      <c r="C179" s="103" t="s">
        <v>2</v>
      </c>
      <c r="D179" s="462" t="s">
        <v>253</v>
      </c>
      <c r="E179" s="463"/>
      <c r="F179" s="208">
        <v>457</v>
      </c>
      <c r="G179" s="50" t="s">
        <v>345</v>
      </c>
      <c r="H179" s="51" t="s">
        <v>46</v>
      </c>
    </row>
    <row r="180" spans="1:8" s="47" customFormat="1" ht="15.75">
      <c r="A180" s="99"/>
      <c r="B180" s="134" t="s">
        <v>174</v>
      </c>
      <c r="C180" s="103" t="s">
        <v>2</v>
      </c>
      <c r="D180" s="207">
        <v>5750.1</v>
      </c>
      <c r="E180" s="44">
        <v>60</v>
      </c>
      <c r="F180" s="216">
        <f>ROUND((D180*E180%),0)</f>
        <v>3450</v>
      </c>
      <c r="G180" s="75"/>
      <c r="H180" s="51" t="s">
        <v>46</v>
      </c>
    </row>
    <row r="181" spans="1:8" s="47" customFormat="1" ht="15.75">
      <c r="A181" s="99"/>
      <c r="B181" s="124" t="s">
        <v>173</v>
      </c>
      <c r="C181" s="74" t="s">
        <v>2</v>
      </c>
      <c r="D181" s="207">
        <f>582+104</f>
        <v>686</v>
      </c>
      <c r="E181" s="44">
        <v>70</v>
      </c>
      <c r="F181" s="216">
        <f>ROUND((D181*E181%),0)</f>
        <v>480</v>
      </c>
      <c r="G181" s="50"/>
      <c r="H181" s="51" t="s">
        <v>46</v>
      </c>
    </row>
    <row r="182" spans="1:8" s="47" customFormat="1" ht="15.75">
      <c r="A182" s="99"/>
      <c r="B182" s="124" t="s">
        <v>394</v>
      </c>
      <c r="C182" s="74" t="s">
        <v>2</v>
      </c>
      <c r="D182" s="144"/>
      <c r="E182" s="249"/>
      <c r="F182" s="216">
        <f>F179</f>
        <v>457</v>
      </c>
      <c r="G182" s="44"/>
      <c r="H182" s="46" t="s">
        <v>52</v>
      </c>
    </row>
    <row r="183" spans="1:8" s="47" customFormat="1" ht="15.75">
      <c r="A183" s="99"/>
      <c r="B183" s="129" t="s">
        <v>305</v>
      </c>
      <c r="C183" s="74" t="s">
        <v>106</v>
      </c>
      <c r="D183" s="144" t="s">
        <v>113</v>
      </c>
      <c r="E183" s="44">
        <v>50</v>
      </c>
      <c r="F183" s="44">
        <f>6.6*50%</f>
        <v>3.3</v>
      </c>
      <c r="G183" s="44"/>
      <c r="H183" s="46" t="s">
        <v>52</v>
      </c>
    </row>
    <row r="184" spans="1:8" s="47" customFormat="1" ht="15.75">
      <c r="A184" s="99"/>
      <c r="B184" s="124" t="s">
        <v>156</v>
      </c>
      <c r="C184" s="74" t="s">
        <v>2</v>
      </c>
      <c r="D184" s="203">
        <f>5764+9</f>
        <v>5773</v>
      </c>
      <c r="E184" s="44">
        <v>50</v>
      </c>
      <c r="F184" s="216">
        <f aca="true" t="shared" si="10" ref="F184:F192">ROUND((D184*E184%),0)</f>
        <v>2887</v>
      </c>
      <c r="G184" s="50" t="s">
        <v>53</v>
      </c>
      <c r="H184" s="51" t="s">
        <v>42</v>
      </c>
    </row>
    <row r="185" spans="1:8" s="47" customFormat="1" ht="15.75">
      <c r="A185" s="99"/>
      <c r="B185" s="124" t="s">
        <v>291</v>
      </c>
      <c r="C185" s="74" t="s">
        <v>2</v>
      </c>
      <c r="D185" s="203">
        <f>350.73</f>
        <v>350.73</v>
      </c>
      <c r="E185" s="44">
        <v>60</v>
      </c>
      <c r="F185" s="216">
        <f t="shared" si="10"/>
        <v>210</v>
      </c>
      <c r="G185" s="50"/>
      <c r="H185" s="51" t="s">
        <v>42</v>
      </c>
    </row>
    <row r="186" spans="1:8" s="47" customFormat="1" ht="15.75">
      <c r="A186" s="99"/>
      <c r="B186" s="124" t="s">
        <v>150</v>
      </c>
      <c r="C186" s="74" t="s">
        <v>2</v>
      </c>
      <c r="D186" s="203">
        <f>5764+9</f>
        <v>5773</v>
      </c>
      <c r="E186" s="44">
        <v>30</v>
      </c>
      <c r="F186" s="216">
        <f t="shared" si="10"/>
        <v>1732</v>
      </c>
      <c r="G186" s="54"/>
      <c r="H186" s="46" t="s">
        <v>51</v>
      </c>
    </row>
    <row r="187" spans="1:8" s="47" customFormat="1" ht="15.75">
      <c r="A187" s="99"/>
      <c r="B187" s="124" t="s">
        <v>210</v>
      </c>
      <c r="C187" s="74" t="s">
        <v>2</v>
      </c>
      <c r="D187" s="203">
        <f>5764+9</f>
        <v>5773</v>
      </c>
      <c r="E187" s="44">
        <v>30</v>
      </c>
      <c r="F187" s="216">
        <f t="shared" si="10"/>
        <v>1732</v>
      </c>
      <c r="G187" s="54"/>
      <c r="H187" s="46" t="s">
        <v>51</v>
      </c>
    </row>
    <row r="188" spans="1:8" s="47" customFormat="1" ht="15.75">
      <c r="A188" s="99"/>
      <c r="B188" s="131" t="s">
        <v>222</v>
      </c>
      <c r="C188" s="74" t="s">
        <v>2</v>
      </c>
      <c r="D188" s="207">
        <v>16.5</v>
      </c>
      <c r="E188" s="44">
        <v>100</v>
      </c>
      <c r="F188" s="216">
        <f t="shared" si="10"/>
        <v>17</v>
      </c>
      <c r="G188" s="50"/>
      <c r="H188" s="51" t="s">
        <v>51</v>
      </c>
    </row>
    <row r="189" spans="1:8" s="47" customFormat="1" ht="15.75">
      <c r="A189" s="99"/>
      <c r="B189" s="124" t="s">
        <v>395</v>
      </c>
      <c r="C189" s="74" t="s">
        <v>2</v>
      </c>
      <c r="D189" s="203">
        <f>5764+9</f>
        <v>5773</v>
      </c>
      <c r="E189" s="44">
        <v>30</v>
      </c>
      <c r="F189" s="216">
        <f t="shared" si="10"/>
        <v>1732</v>
      </c>
      <c r="G189" s="44"/>
      <c r="H189" s="51" t="s">
        <v>51</v>
      </c>
    </row>
    <row r="190" spans="1:8" s="47" customFormat="1" ht="15.75">
      <c r="A190" s="99"/>
      <c r="B190" s="124" t="s">
        <v>290</v>
      </c>
      <c r="C190" s="74" t="s">
        <v>2</v>
      </c>
      <c r="D190" s="203">
        <f>6605.5+900+218.6</f>
        <v>7724.1</v>
      </c>
      <c r="E190" s="44">
        <v>60</v>
      </c>
      <c r="F190" s="216">
        <f t="shared" si="10"/>
        <v>4634</v>
      </c>
      <c r="G190" s="54"/>
      <c r="H190" s="46" t="s">
        <v>303</v>
      </c>
    </row>
    <row r="191" spans="1:8" s="47" customFormat="1" ht="15.75">
      <c r="A191" s="99"/>
      <c r="B191" s="124" t="s">
        <v>290</v>
      </c>
      <c r="C191" s="74" t="s">
        <v>2</v>
      </c>
      <c r="D191" s="203">
        <f>6605.5+900+218.6</f>
        <v>7724.1</v>
      </c>
      <c r="E191" s="44">
        <v>10</v>
      </c>
      <c r="F191" s="216">
        <f t="shared" si="10"/>
        <v>772</v>
      </c>
      <c r="G191" s="54"/>
      <c r="H191" s="46" t="s">
        <v>344</v>
      </c>
    </row>
    <row r="192" spans="1:8" s="47" customFormat="1" ht="15" customHeight="1" thickBot="1">
      <c r="A192" s="265"/>
      <c r="B192" s="129" t="s">
        <v>157</v>
      </c>
      <c r="C192" s="74" t="s">
        <v>2</v>
      </c>
      <c r="D192" s="203">
        <f>6605.5+900+218.6</f>
        <v>7724.1</v>
      </c>
      <c r="E192" s="44">
        <v>70</v>
      </c>
      <c r="F192" s="216">
        <f t="shared" si="10"/>
        <v>5407</v>
      </c>
      <c r="G192" s="44"/>
      <c r="H192" s="58" t="s">
        <v>144</v>
      </c>
    </row>
    <row r="193" spans="1:8" s="47" customFormat="1" ht="17.25" customHeight="1" thickBot="1">
      <c r="A193" s="160" t="s">
        <v>16</v>
      </c>
      <c r="B193" s="251" t="s">
        <v>331</v>
      </c>
      <c r="C193" s="161"/>
      <c r="D193" s="162"/>
      <c r="E193" s="163"/>
      <c r="F193" s="163"/>
      <c r="G193" s="163"/>
      <c r="H193" s="164"/>
    </row>
    <row r="194" spans="1:8" s="47" customFormat="1" ht="15.75">
      <c r="A194" s="104"/>
      <c r="B194" s="221" t="s">
        <v>63</v>
      </c>
      <c r="C194" s="106" t="s">
        <v>2</v>
      </c>
      <c r="D194" s="395">
        <f>5376.9+7715.5+166+3717+595.6</f>
        <v>17571</v>
      </c>
      <c r="E194" s="256">
        <v>80</v>
      </c>
      <c r="F194" s="257">
        <f>ROUND((D194*E194%),0)</f>
        <v>14057</v>
      </c>
      <c r="G194" s="258"/>
      <c r="H194" s="71" t="s">
        <v>42</v>
      </c>
    </row>
    <row r="195" spans="1:8" s="47" customFormat="1" ht="15.75">
      <c r="A195" s="99"/>
      <c r="B195" s="124" t="s">
        <v>152</v>
      </c>
      <c r="C195" s="74" t="s">
        <v>302</v>
      </c>
      <c r="D195" s="145"/>
      <c r="E195" s="44"/>
      <c r="F195" s="216">
        <v>990</v>
      </c>
      <c r="G195" s="44"/>
      <c r="H195" s="46"/>
    </row>
    <row r="196" spans="1:8" s="47" customFormat="1" ht="15.75">
      <c r="A196" s="99"/>
      <c r="B196" s="124" t="s">
        <v>160</v>
      </c>
      <c r="C196" s="74" t="s">
        <v>2</v>
      </c>
      <c r="D196" s="462" t="s">
        <v>294</v>
      </c>
      <c r="E196" s="463"/>
      <c r="F196" s="208">
        <f>(750+240+240)*0.6</f>
        <v>738</v>
      </c>
      <c r="G196" s="50" t="s">
        <v>194</v>
      </c>
      <c r="H196" s="46" t="s">
        <v>46</v>
      </c>
    </row>
    <row r="197" spans="1:8" s="47" customFormat="1" ht="15.75">
      <c r="A197" s="99"/>
      <c r="B197" s="266" t="s">
        <v>254</v>
      </c>
      <c r="C197" s="223" t="s">
        <v>2</v>
      </c>
      <c r="D197" s="207">
        <v>9835.1</v>
      </c>
      <c r="E197" s="44">
        <v>70</v>
      </c>
      <c r="F197" s="216">
        <f>ROUND((D197*E197%),0)</f>
        <v>6885</v>
      </c>
      <c r="G197" s="75"/>
      <c r="H197" s="46" t="s">
        <v>46</v>
      </c>
    </row>
    <row r="198" spans="1:8" s="47" customFormat="1" ht="15.75">
      <c r="A198" s="99"/>
      <c r="B198" s="124" t="s">
        <v>62</v>
      </c>
      <c r="C198" s="74" t="s">
        <v>2</v>
      </c>
      <c r="D198" s="207">
        <v>95</v>
      </c>
      <c r="E198" s="44">
        <v>80</v>
      </c>
      <c r="F198" s="249">
        <f>ROUND((D198*E198%),0)</f>
        <v>76</v>
      </c>
      <c r="G198" s="50"/>
      <c r="H198" s="46" t="s">
        <v>46</v>
      </c>
    </row>
    <row r="199" spans="1:8" s="47" customFormat="1" ht="15.75">
      <c r="A199" s="99"/>
      <c r="B199" s="124" t="s">
        <v>394</v>
      </c>
      <c r="C199" s="74" t="s">
        <v>2</v>
      </c>
      <c r="D199" s="144"/>
      <c r="E199" s="249"/>
      <c r="F199" s="216">
        <f>F196</f>
        <v>738</v>
      </c>
      <c r="G199" s="44"/>
      <c r="H199" s="46" t="s">
        <v>52</v>
      </c>
    </row>
    <row r="200" spans="1:8" s="47" customFormat="1" ht="15.75">
      <c r="A200" s="99"/>
      <c r="B200" s="129" t="s">
        <v>305</v>
      </c>
      <c r="C200" s="74" t="s">
        <v>106</v>
      </c>
      <c r="D200" s="144" t="s">
        <v>111</v>
      </c>
      <c r="E200" s="44">
        <v>50</v>
      </c>
      <c r="F200" s="253">
        <f>9.71*50%</f>
        <v>4.855</v>
      </c>
      <c r="G200" s="44"/>
      <c r="H200" s="46" t="s">
        <v>52</v>
      </c>
    </row>
    <row r="201" spans="1:8" s="47" customFormat="1" ht="21" customHeight="1">
      <c r="A201" s="99"/>
      <c r="B201" s="124" t="s">
        <v>167</v>
      </c>
      <c r="C201" s="74" t="s">
        <v>73</v>
      </c>
      <c r="D201" s="145" t="s">
        <v>78</v>
      </c>
      <c r="E201" s="173">
        <v>100</v>
      </c>
      <c r="F201" s="267" t="s">
        <v>78</v>
      </c>
      <c r="G201" s="50"/>
      <c r="H201" s="467" t="s">
        <v>287</v>
      </c>
    </row>
    <row r="202" spans="1:8" s="47" customFormat="1" ht="23.25" customHeight="1">
      <c r="A202" s="101"/>
      <c r="B202" s="129" t="s">
        <v>166</v>
      </c>
      <c r="C202" s="103" t="s">
        <v>11</v>
      </c>
      <c r="D202" s="144">
        <v>8</v>
      </c>
      <c r="E202" s="173">
        <v>100</v>
      </c>
      <c r="F202" s="241">
        <v>8</v>
      </c>
      <c r="G202" s="49"/>
      <c r="H202" s="468"/>
    </row>
    <row r="203" spans="1:8" s="47" customFormat="1" ht="15" customHeight="1">
      <c r="A203" s="101"/>
      <c r="B203" s="133" t="s">
        <v>156</v>
      </c>
      <c r="C203" s="103" t="s">
        <v>2</v>
      </c>
      <c r="D203" s="209">
        <f>5376.9+76.1</f>
        <v>5453</v>
      </c>
      <c r="E203" s="49">
        <v>50</v>
      </c>
      <c r="F203" s="208">
        <f aca="true" t="shared" si="11" ref="F203:F210">ROUND((D203*E203%),0)</f>
        <v>2727</v>
      </c>
      <c r="G203" s="50" t="s">
        <v>194</v>
      </c>
      <c r="H203" s="51" t="s">
        <v>42</v>
      </c>
    </row>
    <row r="204" spans="1:8" s="47" customFormat="1" ht="14.25" customHeight="1">
      <c r="A204" s="101"/>
      <c r="B204" s="129" t="s">
        <v>150</v>
      </c>
      <c r="C204" s="74" t="s">
        <v>2</v>
      </c>
      <c r="D204" s="211">
        <f>5376.9+76.1</f>
        <v>5453</v>
      </c>
      <c r="E204" s="44">
        <v>30</v>
      </c>
      <c r="F204" s="216">
        <f t="shared" si="11"/>
        <v>1636</v>
      </c>
      <c r="G204" s="54"/>
      <c r="H204" s="58" t="s">
        <v>51</v>
      </c>
    </row>
    <row r="205" spans="1:8" s="47" customFormat="1" ht="18.75" customHeight="1">
      <c r="A205" s="101"/>
      <c r="B205" s="129" t="s">
        <v>210</v>
      </c>
      <c r="C205" s="74" t="s">
        <v>2</v>
      </c>
      <c r="D205" s="211">
        <f>5376.9+76.1</f>
        <v>5453</v>
      </c>
      <c r="E205" s="44">
        <v>30</v>
      </c>
      <c r="F205" s="216">
        <f t="shared" si="11"/>
        <v>1636</v>
      </c>
      <c r="G205" s="54"/>
      <c r="H205" s="58" t="s">
        <v>51</v>
      </c>
    </row>
    <row r="206" spans="1:8" s="47" customFormat="1" ht="15" customHeight="1">
      <c r="A206" s="101"/>
      <c r="B206" s="129" t="s">
        <v>222</v>
      </c>
      <c r="C206" s="74" t="s">
        <v>2</v>
      </c>
      <c r="D206" s="203">
        <v>24</v>
      </c>
      <c r="E206" s="44">
        <v>100</v>
      </c>
      <c r="F206" s="216">
        <f t="shared" si="11"/>
        <v>24</v>
      </c>
      <c r="G206" s="50"/>
      <c r="H206" s="58" t="s">
        <v>51</v>
      </c>
    </row>
    <row r="207" spans="1:8" s="47" customFormat="1" ht="15" customHeight="1">
      <c r="A207" s="99"/>
      <c r="B207" s="124" t="s">
        <v>395</v>
      </c>
      <c r="C207" s="74" t="s">
        <v>2</v>
      </c>
      <c r="D207" s="203">
        <v>5376.9</v>
      </c>
      <c r="E207" s="44">
        <v>30</v>
      </c>
      <c r="F207" s="216">
        <f t="shared" si="11"/>
        <v>1613</v>
      </c>
      <c r="G207" s="44"/>
      <c r="H207" s="58" t="s">
        <v>51</v>
      </c>
    </row>
    <row r="208" spans="1:8" s="47" customFormat="1" ht="14.25" customHeight="1">
      <c r="A208" s="99"/>
      <c r="B208" s="124" t="s">
        <v>290</v>
      </c>
      <c r="C208" s="74" t="s">
        <v>2</v>
      </c>
      <c r="D208" s="211">
        <f>7715.5+3717+520.5</f>
        <v>11953</v>
      </c>
      <c r="E208" s="44">
        <v>50</v>
      </c>
      <c r="F208" s="216">
        <f t="shared" si="11"/>
        <v>5977</v>
      </c>
      <c r="G208" s="54"/>
      <c r="H208" s="46" t="s">
        <v>303</v>
      </c>
    </row>
    <row r="209" spans="1:8" s="47" customFormat="1" ht="14.25" customHeight="1">
      <c r="A209" s="99"/>
      <c r="B209" s="124" t="s">
        <v>290</v>
      </c>
      <c r="C209" s="74" t="s">
        <v>2</v>
      </c>
      <c r="D209" s="211">
        <f>7715.5+3717+520.5</f>
        <v>11953</v>
      </c>
      <c r="E209" s="44">
        <v>10</v>
      </c>
      <c r="F209" s="216">
        <f t="shared" si="11"/>
        <v>1195</v>
      </c>
      <c r="G209" s="54"/>
      <c r="H209" s="46" t="s">
        <v>344</v>
      </c>
    </row>
    <row r="210" spans="1:8" s="47" customFormat="1" ht="16.5" customHeight="1" thickBot="1">
      <c r="A210" s="262"/>
      <c r="B210" s="130" t="s">
        <v>157</v>
      </c>
      <c r="C210" s="102" t="s">
        <v>2</v>
      </c>
      <c r="D210" s="347">
        <f>7715.5+3717+520.5</f>
        <v>11953</v>
      </c>
      <c r="E210" s="61">
        <v>70</v>
      </c>
      <c r="F210" s="255">
        <f t="shared" si="11"/>
        <v>8367</v>
      </c>
      <c r="G210" s="61"/>
      <c r="H210" s="63" t="s">
        <v>144</v>
      </c>
    </row>
    <row r="211" spans="1:8" s="47" customFormat="1" ht="15.75" customHeight="1" thickBot="1">
      <c r="A211" s="268" t="s">
        <v>17</v>
      </c>
      <c r="B211" s="251" t="s">
        <v>332</v>
      </c>
      <c r="C211" s="161"/>
      <c r="D211" s="269"/>
      <c r="E211" s="270"/>
      <c r="F211" s="163"/>
      <c r="G211" s="270"/>
      <c r="H211" s="271"/>
    </row>
    <row r="212" spans="1:8" s="47" customFormat="1" ht="19.5" customHeight="1">
      <c r="A212" s="101"/>
      <c r="B212" s="272" t="s">
        <v>192</v>
      </c>
      <c r="C212" s="103" t="s">
        <v>2</v>
      </c>
      <c r="D212" s="273">
        <f>12642.2+683.8</f>
        <v>13326</v>
      </c>
      <c r="E212" s="274">
        <v>50</v>
      </c>
      <c r="F212" s="208">
        <f>ROUND((D212*E212%),0)</f>
        <v>6663</v>
      </c>
      <c r="G212" s="59"/>
      <c r="H212" s="51" t="s">
        <v>42</v>
      </c>
    </row>
    <row r="213" spans="1:8" s="47" customFormat="1" ht="15.75">
      <c r="A213" s="101"/>
      <c r="B213" s="133" t="s">
        <v>152</v>
      </c>
      <c r="C213" s="103" t="s">
        <v>302</v>
      </c>
      <c r="D213" s="144" t="s">
        <v>193</v>
      </c>
      <c r="E213" s="49"/>
      <c r="F213" s="49">
        <f>500*2</f>
        <v>1000</v>
      </c>
      <c r="G213" s="59"/>
      <c r="H213" s="45"/>
    </row>
    <row r="214" spans="1:8" s="47" customFormat="1" ht="15.75">
      <c r="A214" s="101"/>
      <c r="B214" s="133" t="s">
        <v>160</v>
      </c>
      <c r="C214" s="103" t="s">
        <v>2</v>
      </c>
      <c r="D214" s="462" t="s">
        <v>255</v>
      </c>
      <c r="E214" s="463"/>
      <c r="F214" s="208">
        <f>F213*0.6</f>
        <v>600</v>
      </c>
      <c r="G214" s="50" t="s">
        <v>403</v>
      </c>
      <c r="H214" s="58" t="s">
        <v>50</v>
      </c>
    </row>
    <row r="215" spans="1:8" s="47" customFormat="1" ht="15.75">
      <c r="A215" s="101"/>
      <c r="B215" s="133" t="s">
        <v>161</v>
      </c>
      <c r="C215" s="103" t="s">
        <v>2</v>
      </c>
      <c r="D215" s="207">
        <v>10950.9</v>
      </c>
      <c r="E215" s="44">
        <v>60</v>
      </c>
      <c r="F215" s="216">
        <f aca="true" t="shared" si="12" ref="F215:F222">ROUND((D215*E215%),0)</f>
        <v>6571</v>
      </c>
      <c r="G215" s="75"/>
      <c r="H215" s="58" t="s">
        <v>42</v>
      </c>
    </row>
    <row r="216" spans="1:8" s="47" customFormat="1" ht="15.75">
      <c r="A216" s="101"/>
      <c r="B216" s="133" t="s">
        <v>162</v>
      </c>
      <c r="C216" s="103" t="s">
        <v>2</v>
      </c>
      <c r="D216" s="207">
        <v>4958</v>
      </c>
      <c r="E216" s="49">
        <v>100</v>
      </c>
      <c r="F216" s="216">
        <f t="shared" si="12"/>
        <v>4958</v>
      </c>
      <c r="G216" s="67"/>
      <c r="H216" s="45" t="s">
        <v>48</v>
      </c>
    </row>
    <row r="217" spans="1:8" s="47" customFormat="1" ht="15.75">
      <c r="A217" s="101"/>
      <c r="B217" s="129" t="s">
        <v>305</v>
      </c>
      <c r="C217" s="74" t="s">
        <v>106</v>
      </c>
      <c r="D217" s="144" t="s">
        <v>108</v>
      </c>
      <c r="E217" s="44">
        <v>20</v>
      </c>
      <c r="F217" s="44">
        <v>0.05</v>
      </c>
      <c r="G217" s="44"/>
      <c r="H217" s="46" t="s">
        <v>52</v>
      </c>
    </row>
    <row r="218" spans="1:8" s="47" customFormat="1" ht="15.75">
      <c r="A218" s="99"/>
      <c r="B218" s="125" t="s">
        <v>395</v>
      </c>
      <c r="C218" s="74" t="s">
        <v>2</v>
      </c>
      <c r="D218" s="203">
        <v>683.8</v>
      </c>
      <c r="E218" s="44">
        <v>30</v>
      </c>
      <c r="F218" s="216">
        <f t="shared" si="12"/>
        <v>205</v>
      </c>
      <c r="G218" s="54"/>
      <c r="H218" s="58" t="s">
        <v>51</v>
      </c>
    </row>
    <row r="219" spans="1:8" s="47" customFormat="1" ht="15.75">
      <c r="A219" s="99"/>
      <c r="B219" s="165" t="s">
        <v>156</v>
      </c>
      <c r="C219" s="103" t="s">
        <v>2</v>
      </c>
      <c r="D219" s="207">
        <v>683.8</v>
      </c>
      <c r="E219" s="49">
        <v>30</v>
      </c>
      <c r="F219" s="216">
        <f t="shared" si="12"/>
        <v>205</v>
      </c>
      <c r="G219" s="59" t="s">
        <v>343</v>
      </c>
      <c r="H219" s="58" t="s">
        <v>50</v>
      </c>
    </row>
    <row r="220" spans="1:8" s="47" customFormat="1" ht="15.75" customHeight="1" thickBot="1">
      <c r="A220" s="100"/>
      <c r="B220" s="275" t="s">
        <v>157</v>
      </c>
      <c r="C220" s="143" t="s">
        <v>2</v>
      </c>
      <c r="D220" s="276">
        <v>12642.2</v>
      </c>
      <c r="E220" s="61">
        <v>95</v>
      </c>
      <c r="F220" s="255">
        <f t="shared" si="12"/>
        <v>12010</v>
      </c>
      <c r="G220" s="55"/>
      <c r="H220" s="56" t="s">
        <v>144</v>
      </c>
    </row>
    <row r="221" spans="1:8" s="47" customFormat="1" ht="18" customHeight="1" thickBot="1">
      <c r="A221" s="160" t="s">
        <v>18</v>
      </c>
      <c r="B221" s="159" t="s">
        <v>230</v>
      </c>
      <c r="C221" s="161"/>
      <c r="D221" s="162"/>
      <c r="E221" s="163"/>
      <c r="F221" s="163"/>
      <c r="G221" s="163"/>
      <c r="H221" s="164"/>
    </row>
    <row r="222" spans="1:8" s="47" customFormat="1" ht="30.75" customHeight="1">
      <c r="A222" s="105"/>
      <c r="B222" s="237" t="s">
        <v>379</v>
      </c>
      <c r="C222" s="106" t="s">
        <v>2</v>
      </c>
      <c r="D222" s="206">
        <f>1922.3+2549.7+1850+1728.85+1341-857-102</f>
        <v>8432.85</v>
      </c>
      <c r="E222" s="277">
        <v>70</v>
      </c>
      <c r="F222" s="278">
        <f t="shared" si="12"/>
        <v>5903</v>
      </c>
      <c r="G222" s="279"/>
      <c r="H222" s="71" t="s">
        <v>41</v>
      </c>
    </row>
    <row r="223" spans="1:8" s="47" customFormat="1" ht="15.75" customHeight="1">
      <c r="A223" s="101"/>
      <c r="B223" s="125" t="s">
        <v>152</v>
      </c>
      <c r="C223" s="74" t="s">
        <v>302</v>
      </c>
      <c r="D223" s="145"/>
      <c r="E223" s="44"/>
      <c r="F223" s="44">
        <v>420</v>
      </c>
      <c r="G223" s="44"/>
      <c r="H223" s="46"/>
    </row>
    <row r="224" spans="1:8" s="47" customFormat="1" ht="15.75">
      <c r="A224" s="101"/>
      <c r="B224" s="125" t="s">
        <v>160</v>
      </c>
      <c r="C224" s="103" t="s">
        <v>2</v>
      </c>
      <c r="D224" s="462" t="s">
        <v>256</v>
      </c>
      <c r="E224" s="463"/>
      <c r="F224" s="208">
        <v>252</v>
      </c>
      <c r="G224" s="50" t="s">
        <v>403</v>
      </c>
      <c r="H224" s="51" t="s">
        <v>7</v>
      </c>
    </row>
    <row r="225" spans="1:8" s="47" customFormat="1" ht="15.75">
      <c r="A225" s="101"/>
      <c r="B225" s="129" t="s">
        <v>174</v>
      </c>
      <c r="C225" s="74" t="s">
        <v>2</v>
      </c>
      <c r="D225" s="203">
        <v>3570.1</v>
      </c>
      <c r="E225" s="44">
        <v>60</v>
      </c>
      <c r="F225" s="216">
        <f>ROUND((D225*E225%),0)</f>
        <v>2142</v>
      </c>
      <c r="G225" s="75"/>
      <c r="H225" s="58" t="s">
        <v>41</v>
      </c>
    </row>
    <row r="226" spans="1:8" s="47" customFormat="1" ht="15.75">
      <c r="A226" s="101"/>
      <c r="B226" s="129" t="s">
        <v>173</v>
      </c>
      <c r="C226" s="74" t="s">
        <v>2</v>
      </c>
      <c r="D226" s="203">
        <v>364</v>
      </c>
      <c r="E226" s="44">
        <v>80</v>
      </c>
      <c r="F226" s="216">
        <f>ROUND((D226*E226%),0)</f>
        <v>291</v>
      </c>
      <c r="G226" s="50"/>
      <c r="H226" s="58" t="s">
        <v>7</v>
      </c>
    </row>
    <row r="227" spans="1:8" s="47" customFormat="1" ht="15.75">
      <c r="A227" s="101"/>
      <c r="B227" s="125" t="s">
        <v>400</v>
      </c>
      <c r="C227" s="74" t="s">
        <v>2</v>
      </c>
      <c r="D227" s="144"/>
      <c r="E227" s="44"/>
      <c r="F227" s="216">
        <f>F224</f>
        <v>252</v>
      </c>
      <c r="G227" s="44"/>
      <c r="H227" s="46" t="s">
        <v>52</v>
      </c>
    </row>
    <row r="228" spans="1:8" s="47" customFormat="1" ht="15.75">
      <c r="A228" s="101"/>
      <c r="B228" s="129" t="s">
        <v>305</v>
      </c>
      <c r="C228" s="74" t="s">
        <v>106</v>
      </c>
      <c r="D228" s="144" t="s">
        <v>225</v>
      </c>
      <c r="E228" s="44">
        <v>50</v>
      </c>
      <c r="F228" s="44">
        <f>6.32*50%</f>
        <v>3.16</v>
      </c>
      <c r="G228" s="44"/>
      <c r="H228" s="46" t="s">
        <v>52</v>
      </c>
    </row>
    <row r="229" spans="1:8" s="47" customFormat="1" ht="15.75">
      <c r="A229" s="101"/>
      <c r="B229" s="125" t="s">
        <v>61</v>
      </c>
      <c r="C229" s="74" t="s">
        <v>2</v>
      </c>
      <c r="D229" s="203">
        <f>2549.7+762+1239</f>
        <v>4550.7</v>
      </c>
      <c r="E229" s="44">
        <v>60</v>
      </c>
      <c r="F229" s="216">
        <f aca="true" t="shared" si="13" ref="F229:F259">ROUND((D229*E229%),0)</f>
        <v>2730</v>
      </c>
      <c r="G229" s="50" t="s">
        <v>194</v>
      </c>
      <c r="H229" s="52" t="s">
        <v>42</v>
      </c>
    </row>
    <row r="230" spans="1:8" s="47" customFormat="1" ht="15.75">
      <c r="A230" s="101"/>
      <c r="B230" s="129" t="s">
        <v>171</v>
      </c>
      <c r="C230" s="74" t="s">
        <v>2</v>
      </c>
      <c r="D230" s="203">
        <f>31.3+102</f>
        <v>133.3</v>
      </c>
      <c r="E230" s="44">
        <v>100</v>
      </c>
      <c r="F230" s="216">
        <f t="shared" si="13"/>
        <v>133</v>
      </c>
      <c r="G230" s="44"/>
      <c r="H230" s="46" t="s">
        <v>41</v>
      </c>
    </row>
    <row r="231" spans="1:8" s="47" customFormat="1" ht="15.75">
      <c r="A231" s="101"/>
      <c r="B231" s="127" t="s">
        <v>150</v>
      </c>
      <c r="C231" s="103" t="s">
        <v>2</v>
      </c>
      <c r="D231" s="207">
        <f>D229</f>
        <v>4550.7</v>
      </c>
      <c r="E231" s="49">
        <v>30</v>
      </c>
      <c r="F231" s="216">
        <f t="shared" si="13"/>
        <v>1365</v>
      </c>
      <c r="G231" s="53"/>
      <c r="H231" s="45" t="s">
        <v>51</v>
      </c>
    </row>
    <row r="232" spans="1:8" s="281" customFormat="1" ht="15.75">
      <c r="A232" s="99"/>
      <c r="B232" s="124" t="s">
        <v>215</v>
      </c>
      <c r="C232" s="74" t="s">
        <v>2</v>
      </c>
      <c r="D232" s="203">
        <f>D230</f>
        <v>133.3</v>
      </c>
      <c r="E232" s="280">
        <v>100</v>
      </c>
      <c r="F232" s="216">
        <f t="shared" si="13"/>
        <v>133</v>
      </c>
      <c r="G232" s="280"/>
      <c r="H232" s="72" t="s">
        <v>51</v>
      </c>
    </row>
    <row r="233" spans="1:8" s="47" customFormat="1" ht="15.75">
      <c r="A233" s="101"/>
      <c r="B233" s="125" t="s">
        <v>210</v>
      </c>
      <c r="C233" s="74" t="s">
        <v>2</v>
      </c>
      <c r="D233" s="207">
        <f>D231</f>
        <v>4550.7</v>
      </c>
      <c r="E233" s="49">
        <v>30</v>
      </c>
      <c r="F233" s="216">
        <f t="shared" si="13"/>
        <v>1365</v>
      </c>
      <c r="G233" s="54"/>
      <c r="H233" s="46" t="s">
        <v>51</v>
      </c>
    </row>
    <row r="234" spans="1:8" s="47" customFormat="1" ht="15.75">
      <c r="A234" s="101"/>
      <c r="B234" s="125" t="s">
        <v>151</v>
      </c>
      <c r="C234" s="74" t="s">
        <v>2</v>
      </c>
      <c r="D234" s="207">
        <f>D231</f>
        <v>4550.7</v>
      </c>
      <c r="E234" s="44">
        <v>30</v>
      </c>
      <c r="F234" s="216">
        <f t="shared" si="13"/>
        <v>1365</v>
      </c>
      <c r="G234" s="44"/>
      <c r="H234" s="45" t="s">
        <v>51</v>
      </c>
    </row>
    <row r="235" spans="1:8" s="47" customFormat="1" ht="15.75">
      <c r="A235" s="99"/>
      <c r="B235" s="124" t="s">
        <v>231</v>
      </c>
      <c r="C235" s="74" t="s">
        <v>2</v>
      </c>
      <c r="D235" s="203">
        <f>D230</f>
        <v>133.3</v>
      </c>
      <c r="E235" s="44">
        <v>100</v>
      </c>
      <c r="F235" s="216">
        <f t="shared" si="13"/>
        <v>133</v>
      </c>
      <c r="G235" s="44"/>
      <c r="H235" s="45" t="s">
        <v>51</v>
      </c>
    </row>
    <row r="236" spans="1:8" s="47" customFormat="1" ht="15.75">
      <c r="A236" s="101"/>
      <c r="B236" s="129" t="s">
        <v>290</v>
      </c>
      <c r="C236" s="74" t="s">
        <v>2</v>
      </c>
      <c r="D236" s="203">
        <f>1922.3+1850+935</f>
        <v>4707.3</v>
      </c>
      <c r="E236" s="44">
        <v>50</v>
      </c>
      <c r="F236" s="216">
        <f t="shared" si="13"/>
        <v>2354</v>
      </c>
      <c r="G236" s="54"/>
      <c r="H236" s="46" t="s">
        <v>303</v>
      </c>
    </row>
    <row r="237" spans="1:8" s="47" customFormat="1" ht="15.75">
      <c r="A237" s="101"/>
      <c r="B237" s="129" t="s">
        <v>290</v>
      </c>
      <c r="C237" s="74" t="s">
        <v>2</v>
      </c>
      <c r="D237" s="203">
        <f>1922.3+1850+935</f>
        <v>4707.3</v>
      </c>
      <c r="E237" s="44">
        <v>10</v>
      </c>
      <c r="F237" s="216">
        <f t="shared" si="13"/>
        <v>471</v>
      </c>
      <c r="G237" s="54"/>
      <c r="H237" s="46" t="s">
        <v>344</v>
      </c>
    </row>
    <row r="238" spans="1:8" s="47" customFormat="1" ht="15" customHeight="1" thickBot="1">
      <c r="A238" s="100"/>
      <c r="B238" s="128" t="s">
        <v>157</v>
      </c>
      <c r="C238" s="143" t="s">
        <v>2</v>
      </c>
      <c r="D238" s="204">
        <f>D236</f>
        <v>4707.3</v>
      </c>
      <c r="E238" s="55">
        <v>80</v>
      </c>
      <c r="F238" s="255">
        <f t="shared" si="13"/>
        <v>3766</v>
      </c>
      <c r="G238" s="55"/>
      <c r="H238" s="56" t="s">
        <v>144</v>
      </c>
    </row>
    <row r="239" spans="1:8" s="47" customFormat="1" ht="18" customHeight="1" thickBot="1">
      <c r="A239" s="160" t="s">
        <v>19</v>
      </c>
      <c r="B239" s="159" t="s">
        <v>104</v>
      </c>
      <c r="C239" s="161"/>
      <c r="D239" s="162"/>
      <c r="E239" s="163"/>
      <c r="F239" s="163"/>
      <c r="G239" s="163"/>
      <c r="H239" s="164"/>
    </row>
    <row r="240" spans="1:8" s="47" customFormat="1" ht="15" customHeight="1">
      <c r="A240" s="99"/>
      <c r="B240" s="156" t="s">
        <v>219</v>
      </c>
      <c r="C240" s="103" t="s">
        <v>2</v>
      </c>
      <c r="D240" s="207">
        <v>3798</v>
      </c>
      <c r="E240" s="49">
        <v>30</v>
      </c>
      <c r="F240" s="208">
        <f t="shared" si="13"/>
        <v>1139</v>
      </c>
      <c r="G240" s="67" t="s">
        <v>194</v>
      </c>
      <c r="H240" s="51" t="s">
        <v>46</v>
      </c>
    </row>
    <row r="241" spans="1:8" s="47" customFormat="1" ht="15.75">
      <c r="A241" s="99"/>
      <c r="B241" s="86" t="s">
        <v>195</v>
      </c>
      <c r="C241" s="103" t="s">
        <v>2</v>
      </c>
      <c r="D241" s="207">
        <v>3798</v>
      </c>
      <c r="E241" s="49">
        <v>60</v>
      </c>
      <c r="F241" s="216">
        <f t="shared" si="13"/>
        <v>2279</v>
      </c>
      <c r="G241" s="59"/>
      <c r="H241" s="60" t="s">
        <v>46</v>
      </c>
    </row>
    <row r="242" spans="1:8" s="47" customFormat="1" ht="15.75">
      <c r="A242" s="99"/>
      <c r="B242" s="129" t="s">
        <v>163</v>
      </c>
      <c r="C242" s="74" t="s">
        <v>2</v>
      </c>
      <c r="D242" s="203">
        <v>3798</v>
      </c>
      <c r="E242" s="44">
        <v>30</v>
      </c>
      <c r="F242" s="216">
        <f t="shared" si="13"/>
        <v>1139</v>
      </c>
      <c r="G242" s="54"/>
      <c r="H242" s="58" t="s">
        <v>52</v>
      </c>
    </row>
    <row r="243" spans="1:8" s="47" customFormat="1" ht="16.5" thickBot="1">
      <c r="A243" s="100"/>
      <c r="B243" s="130" t="s">
        <v>401</v>
      </c>
      <c r="C243" s="102" t="s">
        <v>2</v>
      </c>
      <c r="D243" s="205">
        <v>3798</v>
      </c>
      <c r="E243" s="61">
        <v>30</v>
      </c>
      <c r="F243" s="255">
        <f t="shared" si="13"/>
        <v>1139</v>
      </c>
      <c r="G243" s="62"/>
      <c r="H243" s="63" t="s">
        <v>52</v>
      </c>
    </row>
    <row r="244" spans="1:8" s="47" customFormat="1" ht="17.25" customHeight="1" thickBot="1">
      <c r="A244" s="160" t="s">
        <v>20</v>
      </c>
      <c r="B244" s="251" t="s">
        <v>139</v>
      </c>
      <c r="C244" s="161"/>
      <c r="D244" s="162"/>
      <c r="E244" s="163"/>
      <c r="F244" s="163"/>
      <c r="G244" s="163"/>
      <c r="H244" s="164"/>
    </row>
    <row r="245" spans="1:8" s="47" customFormat="1" ht="16.5" customHeight="1">
      <c r="A245" s="99"/>
      <c r="B245" s="122" t="s">
        <v>285</v>
      </c>
      <c r="C245" s="103" t="s">
        <v>2</v>
      </c>
      <c r="D245" s="207">
        <v>46.8</v>
      </c>
      <c r="E245" s="49">
        <v>100</v>
      </c>
      <c r="F245" s="208">
        <f t="shared" si="13"/>
        <v>47</v>
      </c>
      <c r="G245" s="64"/>
      <c r="H245" s="51" t="s">
        <v>50</v>
      </c>
    </row>
    <row r="246" spans="1:8" s="47" customFormat="1" ht="15.75">
      <c r="A246" s="99"/>
      <c r="B246" s="124" t="s">
        <v>171</v>
      </c>
      <c r="C246" s="74" t="s">
        <v>2</v>
      </c>
      <c r="D246" s="207">
        <v>67.5</v>
      </c>
      <c r="E246" s="249">
        <v>100</v>
      </c>
      <c r="F246" s="216">
        <f t="shared" si="13"/>
        <v>68</v>
      </c>
      <c r="G246" s="50"/>
      <c r="H246" s="58" t="s">
        <v>50</v>
      </c>
    </row>
    <row r="247" spans="1:8" s="47" customFormat="1" ht="15.75">
      <c r="A247" s="99"/>
      <c r="B247" s="124" t="s">
        <v>283</v>
      </c>
      <c r="C247" s="74" t="s">
        <v>2</v>
      </c>
      <c r="D247" s="207">
        <v>360</v>
      </c>
      <c r="E247" s="249">
        <v>100</v>
      </c>
      <c r="F247" s="216">
        <f t="shared" si="13"/>
        <v>360</v>
      </c>
      <c r="G247" s="50"/>
      <c r="H247" s="58" t="s">
        <v>50</v>
      </c>
    </row>
    <row r="248" spans="1:8" s="47" customFormat="1" ht="15.75">
      <c r="A248" s="99"/>
      <c r="B248" s="124" t="s">
        <v>284</v>
      </c>
      <c r="C248" s="74" t="s">
        <v>2</v>
      </c>
      <c r="D248" s="207">
        <v>360</v>
      </c>
      <c r="E248" s="249">
        <v>100</v>
      </c>
      <c r="F248" s="216">
        <f t="shared" si="13"/>
        <v>360</v>
      </c>
      <c r="G248" s="50"/>
      <c r="H248" s="45" t="s">
        <v>51</v>
      </c>
    </row>
    <row r="249" spans="1:8" s="47" customFormat="1" ht="15.75">
      <c r="A249" s="99"/>
      <c r="B249" s="124" t="s">
        <v>215</v>
      </c>
      <c r="C249" s="74" t="s">
        <v>2</v>
      </c>
      <c r="D249" s="203">
        <f>D246</f>
        <v>67.5</v>
      </c>
      <c r="E249" s="44">
        <v>100</v>
      </c>
      <c r="F249" s="216">
        <f t="shared" si="13"/>
        <v>68</v>
      </c>
      <c r="G249" s="44"/>
      <c r="H249" s="45" t="s">
        <v>51</v>
      </c>
    </row>
    <row r="250" spans="1:8" s="47" customFormat="1" ht="15.75">
      <c r="A250" s="99"/>
      <c r="B250" s="124" t="s">
        <v>402</v>
      </c>
      <c r="C250" s="74" t="s">
        <v>2</v>
      </c>
      <c r="D250" s="207">
        <v>360</v>
      </c>
      <c r="E250" s="249">
        <v>100</v>
      </c>
      <c r="F250" s="216">
        <f t="shared" si="13"/>
        <v>360</v>
      </c>
      <c r="G250" s="44"/>
      <c r="H250" s="46" t="s">
        <v>52</v>
      </c>
    </row>
    <row r="251" spans="1:8" s="47" customFormat="1" ht="15.75">
      <c r="A251" s="99"/>
      <c r="B251" s="124" t="s">
        <v>396</v>
      </c>
      <c r="C251" s="74" t="s">
        <v>2</v>
      </c>
      <c r="D251" s="203">
        <f>D247</f>
        <v>360</v>
      </c>
      <c r="E251" s="44">
        <v>100</v>
      </c>
      <c r="F251" s="216">
        <f t="shared" si="13"/>
        <v>360</v>
      </c>
      <c r="G251" s="44"/>
      <c r="H251" s="46" t="s">
        <v>52</v>
      </c>
    </row>
    <row r="252" spans="1:8" s="47" customFormat="1" ht="15.75">
      <c r="A252" s="99"/>
      <c r="B252" s="125" t="s">
        <v>308</v>
      </c>
      <c r="C252" s="74" t="s">
        <v>2</v>
      </c>
      <c r="D252" s="203">
        <v>260</v>
      </c>
      <c r="E252" s="44">
        <v>60</v>
      </c>
      <c r="F252" s="216">
        <f t="shared" si="13"/>
        <v>156</v>
      </c>
      <c r="G252" s="75"/>
      <c r="H252" s="46" t="s">
        <v>50</v>
      </c>
    </row>
    <row r="253" spans="1:8" s="47" customFormat="1" ht="15.75">
      <c r="A253" s="99"/>
      <c r="B253" s="125" t="s">
        <v>213</v>
      </c>
      <c r="C253" s="74" t="s">
        <v>2</v>
      </c>
      <c r="D253" s="203">
        <v>26814</v>
      </c>
      <c r="E253" s="44">
        <v>60</v>
      </c>
      <c r="F253" s="216">
        <f t="shared" si="13"/>
        <v>16088</v>
      </c>
      <c r="G253" s="75"/>
      <c r="H253" s="46" t="s">
        <v>50</v>
      </c>
    </row>
    <row r="254" spans="1:8" s="47" customFormat="1" ht="15" customHeight="1" thickBot="1">
      <c r="A254" s="100"/>
      <c r="B254" s="275" t="s">
        <v>157</v>
      </c>
      <c r="C254" s="143" t="s">
        <v>2</v>
      </c>
      <c r="D254" s="204">
        <v>19978</v>
      </c>
      <c r="E254" s="55">
        <v>80</v>
      </c>
      <c r="F254" s="255">
        <f t="shared" si="13"/>
        <v>15982</v>
      </c>
      <c r="G254" s="55"/>
      <c r="H254" s="73" t="s">
        <v>145</v>
      </c>
    </row>
    <row r="255" spans="1:8" s="47" customFormat="1" ht="18" customHeight="1" thickBot="1">
      <c r="A255" s="160" t="s">
        <v>21</v>
      </c>
      <c r="B255" s="251" t="s">
        <v>137</v>
      </c>
      <c r="C255" s="161"/>
      <c r="D255" s="162"/>
      <c r="E255" s="163"/>
      <c r="F255" s="163"/>
      <c r="G255" s="163"/>
      <c r="H255" s="164"/>
    </row>
    <row r="256" spans="1:8" s="47" customFormat="1" ht="15" customHeight="1">
      <c r="A256" s="99"/>
      <c r="B256" s="122" t="s">
        <v>59</v>
      </c>
      <c r="C256" s="103" t="s">
        <v>2</v>
      </c>
      <c r="D256" s="207">
        <v>434505</v>
      </c>
      <c r="E256" s="49">
        <v>40</v>
      </c>
      <c r="F256" s="208">
        <f t="shared" si="13"/>
        <v>173802</v>
      </c>
      <c r="G256" s="59"/>
      <c r="H256" s="51" t="s">
        <v>236</v>
      </c>
    </row>
    <row r="257" spans="1:9" s="47" customFormat="1" ht="15" customHeight="1" thickBot="1">
      <c r="A257" s="100"/>
      <c r="B257" s="136" t="s">
        <v>157</v>
      </c>
      <c r="C257" s="102" t="s">
        <v>2</v>
      </c>
      <c r="D257" s="204">
        <v>434505</v>
      </c>
      <c r="E257" s="61">
        <v>80</v>
      </c>
      <c r="F257" s="255">
        <f t="shared" si="13"/>
        <v>347604</v>
      </c>
      <c r="G257" s="55"/>
      <c r="H257" s="63" t="s">
        <v>145</v>
      </c>
      <c r="I257" s="47" t="s">
        <v>205</v>
      </c>
    </row>
    <row r="258" spans="1:8" s="47" customFormat="1" ht="18" customHeight="1" thickBot="1">
      <c r="A258" s="160" t="s">
        <v>22</v>
      </c>
      <c r="B258" s="282" t="s">
        <v>199</v>
      </c>
      <c r="C258" s="161"/>
      <c r="D258" s="162"/>
      <c r="E258" s="163"/>
      <c r="F258" s="163"/>
      <c r="G258" s="163"/>
      <c r="H258" s="164"/>
    </row>
    <row r="259" spans="1:8" s="47" customFormat="1" ht="15" customHeight="1">
      <c r="A259" s="104"/>
      <c r="B259" s="283" t="s">
        <v>198</v>
      </c>
      <c r="C259" s="106" t="s">
        <v>2</v>
      </c>
      <c r="D259" s="206">
        <f>(12787.5+2604.2)</f>
        <v>15391.7</v>
      </c>
      <c r="E259" s="256">
        <v>60</v>
      </c>
      <c r="F259" s="257">
        <f t="shared" si="13"/>
        <v>9235</v>
      </c>
      <c r="G259" s="258"/>
      <c r="H259" s="71" t="s">
        <v>50</v>
      </c>
    </row>
    <row r="260" spans="1:8" s="47" customFormat="1" ht="18.75" customHeight="1">
      <c r="A260" s="99"/>
      <c r="B260" s="129" t="s">
        <v>152</v>
      </c>
      <c r="C260" s="74" t="s">
        <v>302</v>
      </c>
      <c r="D260" s="145"/>
      <c r="E260" s="44"/>
      <c r="F260" s="249">
        <v>1098</v>
      </c>
      <c r="G260" s="75"/>
      <c r="H260" s="58"/>
    </row>
    <row r="261" spans="1:8" s="47" customFormat="1" ht="19.5" customHeight="1">
      <c r="A261" s="99"/>
      <c r="B261" s="126" t="s">
        <v>174</v>
      </c>
      <c r="C261" s="103" t="s">
        <v>2</v>
      </c>
      <c r="D261" s="174" t="s">
        <v>275</v>
      </c>
      <c r="E261" s="50"/>
      <c r="F261" s="216">
        <v>658.8</v>
      </c>
      <c r="G261" s="50" t="s">
        <v>403</v>
      </c>
      <c r="H261" s="46" t="s">
        <v>50</v>
      </c>
    </row>
    <row r="262" spans="1:8" s="47" customFormat="1" ht="15" customHeight="1">
      <c r="A262" s="99"/>
      <c r="B262" s="124" t="s">
        <v>151</v>
      </c>
      <c r="C262" s="74" t="s">
        <v>2</v>
      </c>
      <c r="D262" s="203">
        <v>2604.2</v>
      </c>
      <c r="E262" s="284">
        <v>40</v>
      </c>
      <c r="F262" s="216">
        <f>ROUND((D262*E262%),0)</f>
        <v>1042</v>
      </c>
      <c r="G262" s="75"/>
      <c r="H262" s="58" t="s">
        <v>52</v>
      </c>
    </row>
    <row r="263" spans="1:8" s="47" customFormat="1" ht="15" customHeight="1">
      <c r="A263" s="99"/>
      <c r="B263" s="122" t="s">
        <v>156</v>
      </c>
      <c r="C263" s="103" t="s">
        <v>2</v>
      </c>
      <c r="D263" s="203">
        <v>2604.2</v>
      </c>
      <c r="E263" s="44">
        <v>30</v>
      </c>
      <c r="F263" s="216">
        <f>ROUND((D263*E263%),0)</f>
        <v>781</v>
      </c>
      <c r="G263" s="75" t="s">
        <v>189</v>
      </c>
      <c r="H263" s="58" t="s">
        <v>236</v>
      </c>
    </row>
    <row r="264" spans="1:8" s="47" customFormat="1" ht="15" customHeight="1" thickBot="1">
      <c r="A264" s="100"/>
      <c r="B264" s="136" t="s">
        <v>157</v>
      </c>
      <c r="C264" s="102" t="s">
        <v>2</v>
      </c>
      <c r="D264" s="204">
        <v>12787.5</v>
      </c>
      <c r="E264" s="55">
        <v>95</v>
      </c>
      <c r="F264" s="255">
        <f>ROUND((D264*E264%),0)</f>
        <v>12148</v>
      </c>
      <c r="G264" s="55"/>
      <c r="H264" s="56" t="s">
        <v>145</v>
      </c>
    </row>
    <row r="265" spans="1:8" s="47" customFormat="1" ht="18.75" customHeight="1" thickBot="1">
      <c r="A265" s="160" t="s">
        <v>143</v>
      </c>
      <c r="B265" s="251" t="s">
        <v>119</v>
      </c>
      <c r="C265" s="161"/>
      <c r="D265" s="162"/>
      <c r="E265" s="163"/>
      <c r="F265" s="163"/>
      <c r="G265" s="163"/>
      <c r="H265" s="164"/>
    </row>
    <row r="266" spans="1:8" s="47" customFormat="1" ht="16.5" customHeight="1">
      <c r="A266" s="101"/>
      <c r="B266" s="133" t="s">
        <v>152</v>
      </c>
      <c r="C266" s="103" t="s">
        <v>302</v>
      </c>
      <c r="D266" s="144"/>
      <c r="E266" s="49"/>
      <c r="F266" s="49">
        <v>590</v>
      </c>
      <c r="G266" s="49"/>
      <c r="H266" s="45"/>
    </row>
    <row r="267" spans="1:8" s="47" customFormat="1" ht="15.75" customHeight="1">
      <c r="A267" s="99"/>
      <c r="B267" s="122" t="s">
        <v>160</v>
      </c>
      <c r="C267" s="103" t="s">
        <v>2</v>
      </c>
      <c r="D267" s="174" t="s">
        <v>257</v>
      </c>
      <c r="E267" s="50"/>
      <c r="F267" s="208">
        <f>F266*0.6</f>
        <v>354</v>
      </c>
      <c r="G267" s="50" t="s">
        <v>403</v>
      </c>
      <c r="H267" s="51" t="s">
        <v>236</v>
      </c>
    </row>
    <row r="268" spans="1:8" s="47" customFormat="1" ht="16.5" customHeight="1" thickBot="1">
      <c r="A268" s="100"/>
      <c r="B268" s="128" t="s">
        <v>174</v>
      </c>
      <c r="C268" s="143" t="s">
        <v>2</v>
      </c>
      <c r="D268" s="204">
        <v>5071.7</v>
      </c>
      <c r="E268" s="55">
        <v>60</v>
      </c>
      <c r="F268" s="255">
        <f>ROUND((D268*E268%),0)</f>
        <v>3043</v>
      </c>
      <c r="G268" s="285"/>
      <c r="H268" s="63" t="s">
        <v>236</v>
      </c>
    </row>
    <row r="269" spans="1:8" s="47" customFormat="1" ht="18" customHeight="1" thickBot="1">
      <c r="A269" s="160" t="s">
        <v>23</v>
      </c>
      <c r="B269" s="251" t="s">
        <v>26</v>
      </c>
      <c r="C269" s="161"/>
      <c r="D269" s="162"/>
      <c r="E269" s="163"/>
      <c r="F269" s="163"/>
      <c r="G269" s="163"/>
      <c r="H269" s="164"/>
    </row>
    <row r="270" spans="1:8" s="47" customFormat="1" ht="15.75">
      <c r="A270" s="99"/>
      <c r="B270" s="122" t="s">
        <v>58</v>
      </c>
      <c r="C270" s="103" t="s">
        <v>2</v>
      </c>
      <c r="D270" s="207">
        <f>D282+D279</f>
        <v>14170.3</v>
      </c>
      <c r="E270" s="49">
        <v>60</v>
      </c>
      <c r="F270" s="66">
        <f>ROUND((D270*E270%),0)</f>
        <v>8502</v>
      </c>
      <c r="G270" s="59"/>
      <c r="H270" s="51" t="s">
        <v>50</v>
      </c>
    </row>
    <row r="271" spans="1:8" s="47" customFormat="1" ht="15.75">
      <c r="A271" s="99"/>
      <c r="B271" s="124" t="s">
        <v>152</v>
      </c>
      <c r="C271" s="74" t="s">
        <v>302</v>
      </c>
      <c r="D271" s="145"/>
      <c r="E271" s="44"/>
      <c r="F271" s="44">
        <v>636.7</v>
      </c>
      <c r="G271" s="44"/>
      <c r="H271" s="46"/>
    </row>
    <row r="272" spans="1:8" s="47" customFormat="1" ht="15.75">
      <c r="A272" s="99"/>
      <c r="B272" s="122" t="s">
        <v>160</v>
      </c>
      <c r="C272" s="103" t="s">
        <v>2</v>
      </c>
      <c r="D272" s="174" t="s">
        <v>258</v>
      </c>
      <c r="E272" s="50"/>
      <c r="F272" s="49">
        <v>382</v>
      </c>
      <c r="G272" s="50" t="s">
        <v>403</v>
      </c>
      <c r="H272" s="51" t="s">
        <v>50</v>
      </c>
    </row>
    <row r="273" spans="1:8" s="47" customFormat="1" ht="15.75">
      <c r="A273" s="99"/>
      <c r="B273" s="124" t="s">
        <v>64</v>
      </c>
      <c r="C273" s="103" t="s">
        <v>2</v>
      </c>
      <c r="D273" s="174">
        <v>20.7</v>
      </c>
      <c r="E273" s="284">
        <v>100</v>
      </c>
      <c r="F273" s="49">
        <v>20.7</v>
      </c>
      <c r="G273" s="50"/>
      <c r="H273" s="51" t="s">
        <v>50</v>
      </c>
    </row>
    <row r="274" spans="1:8" s="47" customFormat="1" ht="15.75">
      <c r="A274" s="99"/>
      <c r="B274" s="122" t="s">
        <v>164</v>
      </c>
      <c r="C274" s="103" t="s">
        <v>2</v>
      </c>
      <c r="D274" s="174">
        <v>20.7</v>
      </c>
      <c r="E274" s="284">
        <v>80</v>
      </c>
      <c r="F274" s="208">
        <f>F273*0.8</f>
        <v>16.56</v>
      </c>
      <c r="G274" s="50"/>
      <c r="H274" s="45" t="s">
        <v>51</v>
      </c>
    </row>
    <row r="275" spans="1:8" s="47" customFormat="1" ht="15.75">
      <c r="A275" s="99"/>
      <c r="B275" s="134" t="s">
        <v>165</v>
      </c>
      <c r="C275" s="103" t="s">
        <v>2</v>
      </c>
      <c r="D275" s="174">
        <v>20.7</v>
      </c>
      <c r="E275" s="284">
        <v>100</v>
      </c>
      <c r="F275" s="49">
        <v>20.7</v>
      </c>
      <c r="G275" s="50"/>
      <c r="H275" s="45" t="s">
        <v>51</v>
      </c>
    </row>
    <row r="276" spans="1:8" s="47" customFormat="1" ht="15.75">
      <c r="A276" s="99"/>
      <c r="B276" s="124" t="s">
        <v>166</v>
      </c>
      <c r="C276" s="74" t="s">
        <v>11</v>
      </c>
      <c r="D276" s="145">
        <v>2</v>
      </c>
      <c r="E276" s="44">
        <v>100</v>
      </c>
      <c r="F276" s="44">
        <v>2</v>
      </c>
      <c r="G276" s="44"/>
      <c r="H276" s="58" t="s">
        <v>309</v>
      </c>
    </row>
    <row r="277" spans="1:8" s="47" customFormat="1" ht="15.75">
      <c r="A277" s="99"/>
      <c r="B277" s="131" t="s">
        <v>312</v>
      </c>
      <c r="C277" s="103" t="s">
        <v>2</v>
      </c>
      <c r="D277" s="207">
        <v>110</v>
      </c>
      <c r="E277" s="49">
        <v>100</v>
      </c>
      <c r="F277" s="216">
        <f aca="true" t="shared" si="14" ref="F277:F282">ROUND((D277*E277%),0)</f>
        <v>110</v>
      </c>
      <c r="G277" s="64"/>
      <c r="H277" s="51" t="s">
        <v>50</v>
      </c>
    </row>
    <row r="278" spans="1:8" s="47" customFormat="1" ht="15.75">
      <c r="A278" s="99"/>
      <c r="B278" s="119" t="s">
        <v>174</v>
      </c>
      <c r="C278" s="244" t="s">
        <v>2</v>
      </c>
      <c r="D278" s="207">
        <v>4950</v>
      </c>
      <c r="E278" s="49">
        <v>60</v>
      </c>
      <c r="F278" s="216">
        <f t="shared" si="14"/>
        <v>2970</v>
      </c>
      <c r="G278" s="59"/>
      <c r="H278" s="51" t="s">
        <v>50</v>
      </c>
    </row>
    <row r="279" spans="1:8" s="47" customFormat="1" ht="15.75">
      <c r="A279" s="99"/>
      <c r="B279" s="124" t="s">
        <v>156</v>
      </c>
      <c r="C279" s="74" t="s">
        <v>2</v>
      </c>
      <c r="D279" s="207">
        <f>1368-20.7</f>
        <v>1347.3</v>
      </c>
      <c r="E279" s="44">
        <v>40</v>
      </c>
      <c r="F279" s="216">
        <f t="shared" si="14"/>
        <v>539</v>
      </c>
      <c r="G279" s="50" t="s">
        <v>5</v>
      </c>
      <c r="H279" s="51" t="s">
        <v>50</v>
      </c>
    </row>
    <row r="280" spans="1:8" s="47" customFormat="1" ht="15.75">
      <c r="A280" s="99"/>
      <c r="B280" s="132" t="s">
        <v>150</v>
      </c>
      <c r="C280" s="103" t="s">
        <v>2</v>
      </c>
      <c r="D280" s="207">
        <f>D279</f>
        <v>1347.3</v>
      </c>
      <c r="E280" s="49">
        <v>40</v>
      </c>
      <c r="F280" s="216">
        <f t="shared" si="14"/>
        <v>539</v>
      </c>
      <c r="G280" s="53"/>
      <c r="H280" s="45" t="s">
        <v>51</v>
      </c>
    </row>
    <row r="281" spans="1:8" s="47" customFormat="1" ht="15.75">
      <c r="A281" s="99"/>
      <c r="B281" s="124" t="s">
        <v>151</v>
      </c>
      <c r="C281" s="74" t="s">
        <v>2</v>
      </c>
      <c r="D281" s="207">
        <f>D280</f>
        <v>1347.3</v>
      </c>
      <c r="E281" s="44">
        <v>40</v>
      </c>
      <c r="F281" s="216">
        <f t="shared" si="14"/>
        <v>539</v>
      </c>
      <c r="G281" s="44"/>
      <c r="H281" s="46" t="s">
        <v>52</v>
      </c>
    </row>
    <row r="282" spans="1:8" s="47" customFormat="1" ht="16.5" thickBot="1">
      <c r="A282" s="100"/>
      <c r="B282" s="286" t="s">
        <v>157</v>
      </c>
      <c r="C282" s="102" t="s">
        <v>2</v>
      </c>
      <c r="D282" s="204">
        <v>12823</v>
      </c>
      <c r="E282" s="55">
        <v>100</v>
      </c>
      <c r="F282" s="255">
        <f t="shared" si="14"/>
        <v>12823</v>
      </c>
      <c r="G282" s="55"/>
      <c r="H282" s="56" t="s">
        <v>144</v>
      </c>
    </row>
    <row r="283" spans="1:8" s="47" customFormat="1" ht="16.5" customHeight="1" thickBot="1">
      <c r="A283" s="160" t="s">
        <v>24</v>
      </c>
      <c r="B283" s="251" t="s">
        <v>310</v>
      </c>
      <c r="C283" s="161"/>
      <c r="D283" s="162"/>
      <c r="E283" s="163"/>
      <c r="F283" s="163"/>
      <c r="G283" s="163"/>
      <c r="H283" s="164"/>
    </row>
    <row r="284" spans="1:8" s="47" customFormat="1" ht="15.75">
      <c r="A284" s="99"/>
      <c r="B284" s="122" t="s">
        <v>152</v>
      </c>
      <c r="C284" s="103" t="s">
        <v>302</v>
      </c>
      <c r="D284" s="144"/>
      <c r="E284" s="49"/>
      <c r="F284" s="49">
        <v>369.2</v>
      </c>
      <c r="G284" s="49"/>
      <c r="H284" s="45"/>
    </row>
    <row r="285" spans="1:8" s="47" customFormat="1" ht="15.75">
      <c r="A285" s="99"/>
      <c r="B285" s="124" t="s">
        <v>160</v>
      </c>
      <c r="C285" s="74" t="s">
        <v>2</v>
      </c>
      <c r="D285" s="174" t="s">
        <v>259</v>
      </c>
      <c r="E285" s="50"/>
      <c r="F285" s="208">
        <f>F284*0.6</f>
        <v>221.51999999999998</v>
      </c>
      <c r="G285" s="50" t="s">
        <v>403</v>
      </c>
      <c r="H285" s="58" t="s">
        <v>48</v>
      </c>
    </row>
    <row r="286" spans="1:8" s="47" customFormat="1" ht="16.5" thickBot="1">
      <c r="A286" s="100"/>
      <c r="B286" s="128" t="s">
        <v>174</v>
      </c>
      <c r="C286" s="143" t="s">
        <v>2</v>
      </c>
      <c r="D286" s="204">
        <v>2340.6</v>
      </c>
      <c r="E286" s="55">
        <v>60</v>
      </c>
      <c r="F286" s="216">
        <f>ROUND((D286*E286%),0)</f>
        <v>1404</v>
      </c>
      <c r="G286" s="285"/>
      <c r="H286" s="63" t="s">
        <v>236</v>
      </c>
    </row>
    <row r="287" spans="1:8" s="47" customFormat="1" ht="19.5" customHeight="1" thickBot="1">
      <c r="A287" s="160" t="s">
        <v>25</v>
      </c>
      <c r="B287" s="251" t="s">
        <v>311</v>
      </c>
      <c r="C287" s="161"/>
      <c r="D287" s="162"/>
      <c r="E287" s="163"/>
      <c r="F287" s="163"/>
      <c r="G287" s="163"/>
      <c r="H287" s="164"/>
    </row>
    <row r="288" spans="1:8" s="47" customFormat="1" ht="13.5" customHeight="1">
      <c r="A288" s="99"/>
      <c r="B288" s="122" t="s">
        <v>152</v>
      </c>
      <c r="C288" s="103" t="s">
        <v>302</v>
      </c>
      <c r="D288" s="144"/>
      <c r="E288" s="49"/>
      <c r="F288" s="49">
        <v>368</v>
      </c>
      <c r="G288" s="49"/>
      <c r="H288" s="45"/>
    </row>
    <row r="289" spans="1:8" s="47" customFormat="1" ht="15.75">
      <c r="A289" s="99"/>
      <c r="B289" s="124" t="s">
        <v>160</v>
      </c>
      <c r="C289" s="74" t="s">
        <v>2</v>
      </c>
      <c r="D289" s="174" t="s">
        <v>260</v>
      </c>
      <c r="E289" s="50"/>
      <c r="F289" s="208">
        <f>F288*0.6</f>
        <v>220.79999999999998</v>
      </c>
      <c r="G289" s="50" t="s">
        <v>403</v>
      </c>
      <c r="H289" s="58" t="s">
        <v>48</v>
      </c>
    </row>
    <row r="290" spans="1:8" s="47" customFormat="1" ht="16.5" thickBot="1">
      <c r="A290" s="100"/>
      <c r="B290" s="128" t="s">
        <v>174</v>
      </c>
      <c r="C290" s="143" t="s">
        <v>2</v>
      </c>
      <c r="D290" s="204">
        <v>2338.6</v>
      </c>
      <c r="E290" s="55">
        <v>60</v>
      </c>
      <c r="F290" s="255">
        <f>ROUND((D290*E290%),0)</f>
        <v>1403</v>
      </c>
      <c r="G290" s="285"/>
      <c r="H290" s="63" t="s">
        <v>236</v>
      </c>
    </row>
    <row r="291" spans="1:8" s="47" customFormat="1" ht="19.5" customHeight="1" thickBot="1">
      <c r="A291" s="160" t="s">
        <v>27</v>
      </c>
      <c r="B291" s="251" t="s">
        <v>238</v>
      </c>
      <c r="C291" s="161"/>
      <c r="D291" s="162"/>
      <c r="E291" s="163"/>
      <c r="F291" s="163"/>
      <c r="G291" s="163"/>
      <c r="H291" s="164"/>
    </row>
    <row r="292" spans="1:8" s="47" customFormat="1" ht="13.5" customHeight="1">
      <c r="A292" s="99"/>
      <c r="B292" s="122" t="s">
        <v>152</v>
      </c>
      <c r="C292" s="103" t="s">
        <v>1</v>
      </c>
      <c r="D292" s="144"/>
      <c r="E292" s="49"/>
      <c r="F292" s="49">
        <v>790</v>
      </c>
      <c r="G292" s="49"/>
      <c r="H292" s="45"/>
    </row>
    <row r="293" spans="1:8" s="47" customFormat="1" ht="15.75">
      <c r="A293" s="99"/>
      <c r="B293" s="124" t="s">
        <v>160</v>
      </c>
      <c r="C293" s="74" t="s">
        <v>2</v>
      </c>
      <c r="D293" s="174" t="s">
        <v>261</v>
      </c>
      <c r="E293" s="50"/>
      <c r="F293" s="208">
        <f>F292*0.6</f>
        <v>474</v>
      </c>
      <c r="G293" s="50" t="s">
        <v>403</v>
      </c>
      <c r="H293" s="58" t="s">
        <v>48</v>
      </c>
    </row>
    <row r="294" spans="1:8" s="47" customFormat="1" ht="15.75">
      <c r="A294" s="99"/>
      <c r="B294" s="122" t="s">
        <v>166</v>
      </c>
      <c r="C294" s="103" t="s">
        <v>11</v>
      </c>
      <c r="D294" s="144">
        <v>1</v>
      </c>
      <c r="E294" s="44">
        <v>100</v>
      </c>
      <c r="F294" s="49">
        <v>1</v>
      </c>
      <c r="G294" s="49"/>
      <c r="H294" s="51" t="s">
        <v>309</v>
      </c>
    </row>
    <row r="295" spans="1:8" s="47" customFormat="1" ht="15.75">
      <c r="A295" s="99"/>
      <c r="B295" s="124" t="s">
        <v>173</v>
      </c>
      <c r="C295" s="74" t="s">
        <v>2</v>
      </c>
      <c r="D295" s="207">
        <v>47</v>
      </c>
      <c r="E295" s="44">
        <v>100</v>
      </c>
      <c r="F295" s="249">
        <f>ROUND((D295*E295%),0)</f>
        <v>47</v>
      </c>
      <c r="G295" s="50"/>
      <c r="H295" s="51" t="s">
        <v>50</v>
      </c>
    </row>
    <row r="296" spans="1:8" s="47" customFormat="1" ht="15.75">
      <c r="A296" s="99"/>
      <c r="B296" s="124" t="s">
        <v>64</v>
      </c>
      <c r="C296" s="103" t="s">
        <v>2</v>
      </c>
      <c r="D296" s="203">
        <v>20.7</v>
      </c>
      <c r="E296" s="284">
        <v>100</v>
      </c>
      <c r="F296" s="49">
        <v>20.7</v>
      </c>
      <c r="G296" s="50"/>
      <c r="H296" s="51" t="s">
        <v>50</v>
      </c>
    </row>
    <row r="297" spans="1:8" s="47" customFormat="1" ht="15.75">
      <c r="A297" s="99"/>
      <c r="B297" s="122" t="s">
        <v>164</v>
      </c>
      <c r="C297" s="103" t="s">
        <v>2</v>
      </c>
      <c r="D297" s="203">
        <v>20.7</v>
      </c>
      <c r="E297" s="284">
        <v>80</v>
      </c>
      <c r="F297" s="208">
        <f>F296*0.8</f>
        <v>16.56</v>
      </c>
      <c r="G297" s="50"/>
      <c r="H297" s="45" t="s">
        <v>51</v>
      </c>
    </row>
    <row r="298" spans="1:8" s="47" customFormat="1" ht="15.75">
      <c r="A298" s="99"/>
      <c r="B298" s="129" t="s">
        <v>165</v>
      </c>
      <c r="C298" s="103" t="s">
        <v>2</v>
      </c>
      <c r="D298" s="203">
        <v>20.7</v>
      </c>
      <c r="E298" s="284">
        <v>100</v>
      </c>
      <c r="F298" s="49">
        <v>20.7</v>
      </c>
      <c r="G298" s="50"/>
      <c r="H298" s="45" t="s">
        <v>51</v>
      </c>
    </row>
    <row r="299" spans="1:8" s="47" customFormat="1" ht="16.5" thickBot="1">
      <c r="A299" s="100"/>
      <c r="B299" s="128" t="s">
        <v>174</v>
      </c>
      <c r="C299" s="143" t="s">
        <v>2</v>
      </c>
      <c r="D299" s="204">
        <v>6797.1</v>
      </c>
      <c r="E299" s="55">
        <v>60</v>
      </c>
      <c r="F299" s="216">
        <f>ROUND((D299*E299%),0)</f>
        <v>4078</v>
      </c>
      <c r="G299" s="285"/>
      <c r="H299" s="63" t="s">
        <v>236</v>
      </c>
    </row>
    <row r="300" spans="1:8" s="47" customFormat="1" ht="16.5" thickBot="1">
      <c r="A300" s="160" t="s">
        <v>28</v>
      </c>
      <c r="B300" s="251" t="s">
        <v>120</v>
      </c>
      <c r="C300" s="161"/>
      <c r="D300" s="162"/>
      <c r="E300" s="163"/>
      <c r="F300" s="163"/>
      <c r="G300" s="163"/>
      <c r="H300" s="164"/>
    </row>
    <row r="301" spans="1:8" s="47" customFormat="1" ht="15.75">
      <c r="A301" s="99"/>
      <c r="B301" s="122" t="s">
        <v>152</v>
      </c>
      <c r="C301" s="103" t="s">
        <v>1</v>
      </c>
      <c r="D301" s="144"/>
      <c r="E301" s="49"/>
      <c r="F301" s="49">
        <v>658.33</v>
      </c>
      <c r="G301" s="49"/>
      <c r="H301" s="45"/>
    </row>
    <row r="302" spans="1:8" s="47" customFormat="1" ht="15.75">
      <c r="A302" s="99"/>
      <c r="B302" s="124" t="s">
        <v>160</v>
      </c>
      <c r="C302" s="74" t="s">
        <v>2</v>
      </c>
      <c r="D302" s="174" t="s">
        <v>262</v>
      </c>
      <c r="E302" s="239"/>
      <c r="F302" s="208">
        <f>F301*0.6</f>
        <v>394.998</v>
      </c>
      <c r="G302" s="50" t="s">
        <v>5</v>
      </c>
      <c r="H302" s="58" t="s">
        <v>48</v>
      </c>
    </row>
    <row r="303" spans="1:8" s="47" customFormat="1" ht="15.75">
      <c r="A303" s="99"/>
      <c r="B303" s="122" t="s">
        <v>166</v>
      </c>
      <c r="C303" s="103" t="s">
        <v>11</v>
      </c>
      <c r="D303" s="144">
        <v>1</v>
      </c>
      <c r="E303" s="44">
        <v>100</v>
      </c>
      <c r="F303" s="49">
        <v>1</v>
      </c>
      <c r="G303" s="49"/>
      <c r="H303" s="51" t="s">
        <v>309</v>
      </c>
    </row>
    <row r="304" spans="1:8" s="47" customFormat="1" ht="15.75">
      <c r="A304" s="99"/>
      <c r="B304" s="124" t="s">
        <v>173</v>
      </c>
      <c r="C304" s="74" t="s">
        <v>2</v>
      </c>
      <c r="D304" s="207">
        <v>36.62</v>
      </c>
      <c r="E304" s="44">
        <v>100</v>
      </c>
      <c r="F304" s="65">
        <f>D304*E304%</f>
        <v>36.62</v>
      </c>
      <c r="G304" s="50"/>
      <c r="H304" s="51" t="s">
        <v>128</v>
      </c>
    </row>
    <row r="305" spans="1:8" s="47" customFormat="1" ht="15.75">
      <c r="A305" s="99"/>
      <c r="B305" s="124" t="s">
        <v>64</v>
      </c>
      <c r="C305" s="103" t="s">
        <v>2</v>
      </c>
      <c r="D305" s="174">
        <v>14.4</v>
      </c>
      <c r="E305" s="284">
        <v>100</v>
      </c>
      <c r="F305" s="49">
        <v>14.4</v>
      </c>
      <c r="G305" s="50"/>
      <c r="H305" s="51" t="s">
        <v>128</v>
      </c>
    </row>
    <row r="306" spans="1:8" s="47" customFormat="1" ht="15.75">
      <c r="A306" s="99"/>
      <c r="B306" s="122" t="s">
        <v>164</v>
      </c>
      <c r="C306" s="103" t="s">
        <v>2</v>
      </c>
      <c r="D306" s="174">
        <v>14.4</v>
      </c>
      <c r="E306" s="284">
        <v>80</v>
      </c>
      <c r="F306" s="208">
        <f>F305*0.8</f>
        <v>11.520000000000001</v>
      </c>
      <c r="G306" s="50"/>
      <c r="H306" s="45" t="s">
        <v>51</v>
      </c>
    </row>
    <row r="307" spans="1:8" s="47" customFormat="1" ht="15.75">
      <c r="A307" s="99"/>
      <c r="B307" s="129" t="s">
        <v>165</v>
      </c>
      <c r="C307" s="103" t="s">
        <v>2</v>
      </c>
      <c r="D307" s="174">
        <v>14.4</v>
      </c>
      <c r="E307" s="284">
        <v>100</v>
      </c>
      <c r="F307" s="49">
        <v>14.4</v>
      </c>
      <c r="G307" s="50"/>
      <c r="H307" s="45" t="s">
        <v>51</v>
      </c>
    </row>
    <row r="308" spans="1:8" s="47" customFormat="1" ht="16.5" thickBot="1">
      <c r="A308" s="100"/>
      <c r="B308" s="128" t="s">
        <v>174</v>
      </c>
      <c r="C308" s="143" t="s">
        <v>2</v>
      </c>
      <c r="D308" s="204">
        <v>3950</v>
      </c>
      <c r="E308" s="55">
        <v>60</v>
      </c>
      <c r="F308" s="216">
        <f>ROUND((D308*E308%),0)</f>
        <v>2370</v>
      </c>
      <c r="G308" s="285"/>
      <c r="H308" s="63" t="s">
        <v>236</v>
      </c>
    </row>
    <row r="309" spans="1:8" s="47" customFormat="1" ht="16.5" thickBot="1">
      <c r="A309" s="160" t="s">
        <v>29</v>
      </c>
      <c r="B309" s="251" t="s">
        <v>121</v>
      </c>
      <c r="C309" s="161"/>
      <c r="D309" s="162"/>
      <c r="E309" s="163"/>
      <c r="F309" s="163"/>
      <c r="G309" s="163"/>
      <c r="H309" s="164"/>
    </row>
    <row r="310" spans="1:8" s="47" customFormat="1" ht="15.75" customHeight="1">
      <c r="A310" s="99"/>
      <c r="B310" s="122" t="s">
        <v>152</v>
      </c>
      <c r="C310" s="103" t="s">
        <v>1</v>
      </c>
      <c r="D310" s="144"/>
      <c r="E310" s="49"/>
      <c r="F310" s="49">
        <v>574.5</v>
      </c>
      <c r="G310" s="49"/>
      <c r="H310" s="45"/>
    </row>
    <row r="311" spans="1:8" s="47" customFormat="1" ht="15.75">
      <c r="A311" s="99"/>
      <c r="B311" s="124" t="s">
        <v>160</v>
      </c>
      <c r="C311" s="74" t="s">
        <v>2</v>
      </c>
      <c r="D311" s="462" t="s">
        <v>263</v>
      </c>
      <c r="E311" s="463"/>
      <c r="F311" s="49">
        <f>F310*0.6</f>
        <v>344.7</v>
      </c>
      <c r="G311" s="50" t="s">
        <v>5</v>
      </c>
      <c r="H311" s="58" t="s">
        <v>48</v>
      </c>
    </row>
    <row r="312" spans="1:8" s="47" customFormat="1" ht="16.5" thickBot="1">
      <c r="A312" s="100"/>
      <c r="B312" s="128" t="s">
        <v>174</v>
      </c>
      <c r="C312" s="143" t="s">
        <v>2</v>
      </c>
      <c r="D312" s="204">
        <v>4200</v>
      </c>
      <c r="E312" s="55">
        <v>60</v>
      </c>
      <c r="F312" s="255">
        <f>ROUND((D312*E312%),0)</f>
        <v>2520</v>
      </c>
      <c r="G312" s="285"/>
      <c r="H312" s="63" t="s">
        <v>236</v>
      </c>
    </row>
    <row r="313" spans="1:8" s="47" customFormat="1" ht="18" customHeight="1" thickBot="1">
      <c r="A313" s="160" t="s">
        <v>30</v>
      </c>
      <c r="B313" s="251" t="s">
        <v>122</v>
      </c>
      <c r="C313" s="161"/>
      <c r="D313" s="162"/>
      <c r="E313" s="163"/>
      <c r="F313" s="163"/>
      <c r="G313" s="163"/>
      <c r="H313" s="164"/>
    </row>
    <row r="314" spans="1:8" s="47" customFormat="1" ht="15.75">
      <c r="A314" s="99"/>
      <c r="B314" s="122" t="s">
        <v>152</v>
      </c>
      <c r="C314" s="103" t="s">
        <v>1</v>
      </c>
      <c r="D314" s="144"/>
      <c r="E314" s="49"/>
      <c r="F314" s="49">
        <v>574.5</v>
      </c>
      <c r="G314" s="49"/>
      <c r="H314" s="45"/>
    </row>
    <row r="315" spans="1:8" s="47" customFormat="1" ht="15.75">
      <c r="A315" s="99"/>
      <c r="B315" s="124" t="s">
        <v>160</v>
      </c>
      <c r="C315" s="74" t="s">
        <v>2</v>
      </c>
      <c r="D315" s="207">
        <v>3447</v>
      </c>
      <c r="E315" s="44">
        <f>F315/D315%</f>
        <v>10</v>
      </c>
      <c r="F315" s="49">
        <f>F314*0.6</f>
        <v>344.7</v>
      </c>
      <c r="G315" s="50" t="s">
        <v>5</v>
      </c>
      <c r="H315" s="58" t="s">
        <v>48</v>
      </c>
    </row>
    <row r="316" spans="1:8" s="47" customFormat="1" ht="16.5" thickBot="1">
      <c r="A316" s="100"/>
      <c r="B316" s="128" t="s">
        <v>174</v>
      </c>
      <c r="C316" s="143" t="s">
        <v>2</v>
      </c>
      <c r="D316" s="204">
        <f>D315</f>
        <v>3447</v>
      </c>
      <c r="E316" s="55">
        <v>60</v>
      </c>
      <c r="F316" s="255">
        <f>ROUND((D316*E316%),0)</f>
        <v>2068</v>
      </c>
      <c r="G316" s="285"/>
      <c r="H316" s="63" t="s">
        <v>236</v>
      </c>
    </row>
    <row r="317" spans="1:8" s="47" customFormat="1" ht="21" customHeight="1" thickBot="1">
      <c r="A317" s="160" t="s">
        <v>31</v>
      </c>
      <c r="B317" s="251" t="s">
        <v>123</v>
      </c>
      <c r="C317" s="161"/>
      <c r="D317" s="162"/>
      <c r="E317" s="163"/>
      <c r="F317" s="163"/>
      <c r="G317" s="163"/>
      <c r="H317" s="164"/>
    </row>
    <row r="318" spans="1:8" s="47" customFormat="1" ht="15.75">
      <c r="A318" s="104"/>
      <c r="B318" s="221" t="s">
        <v>152</v>
      </c>
      <c r="C318" s="106" t="s">
        <v>1</v>
      </c>
      <c r="D318" s="287"/>
      <c r="E318" s="256"/>
      <c r="F318" s="256">
        <v>726.67</v>
      </c>
      <c r="G318" s="256"/>
      <c r="H318" s="71"/>
    </row>
    <row r="319" spans="1:8" s="47" customFormat="1" ht="15.75">
      <c r="A319" s="99"/>
      <c r="B319" s="124" t="s">
        <v>160</v>
      </c>
      <c r="C319" s="74" t="s">
        <v>2</v>
      </c>
      <c r="D319" s="462" t="s">
        <v>264</v>
      </c>
      <c r="E319" s="463"/>
      <c r="F319" s="66">
        <f>F318*0.6</f>
        <v>436.00199999999995</v>
      </c>
      <c r="G319" s="50" t="s">
        <v>5</v>
      </c>
      <c r="H319" s="58" t="s">
        <v>48</v>
      </c>
    </row>
    <row r="320" spans="1:8" s="47" customFormat="1" ht="15.75">
      <c r="A320" s="99"/>
      <c r="B320" s="122" t="s">
        <v>166</v>
      </c>
      <c r="C320" s="103" t="s">
        <v>11</v>
      </c>
      <c r="D320" s="144">
        <v>1</v>
      </c>
      <c r="E320" s="44">
        <v>100</v>
      </c>
      <c r="F320" s="49">
        <v>1</v>
      </c>
      <c r="G320" s="49"/>
      <c r="H320" s="51" t="s">
        <v>309</v>
      </c>
    </row>
    <row r="321" spans="1:8" s="47" customFormat="1" ht="15.75">
      <c r="A321" s="99"/>
      <c r="B321" s="124" t="s">
        <v>173</v>
      </c>
      <c r="C321" s="74" t="s">
        <v>2</v>
      </c>
      <c r="D321" s="144">
        <v>175</v>
      </c>
      <c r="E321" s="44">
        <v>100</v>
      </c>
      <c r="F321" s="66">
        <f>D321*E321%</f>
        <v>175</v>
      </c>
      <c r="G321" s="50"/>
      <c r="H321" s="51" t="s">
        <v>50</v>
      </c>
    </row>
    <row r="322" spans="1:8" s="47" customFormat="1" ht="15.75">
      <c r="A322" s="99"/>
      <c r="B322" s="124" t="s">
        <v>64</v>
      </c>
      <c r="C322" s="103" t="s">
        <v>2</v>
      </c>
      <c r="D322" s="174">
        <v>14.4</v>
      </c>
      <c r="E322" s="284">
        <v>100</v>
      </c>
      <c r="F322" s="49">
        <v>14.4</v>
      </c>
      <c r="G322" s="50"/>
      <c r="H322" s="51" t="s">
        <v>50</v>
      </c>
    </row>
    <row r="323" spans="1:8" s="47" customFormat="1" ht="15.75">
      <c r="A323" s="99"/>
      <c r="B323" s="122" t="s">
        <v>393</v>
      </c>
      <c r="C323" s="103" t="s">
        <v>2</v>
      </c>
      <c r="D323" s="174">
        <v>14.4</v>
      </c>
      <c r="E323" s="284">
        <v>80</v>
      </c>
      <c r="F323" s="208">
        <f>F322*0.8</f>
        <v>11.520000000000001</v>
      </c>
      <c r="G323" s="50"/>
      <c r="H323" s="45" t="s">
        <v>51</v>
      </c>
    </row>
    <row r="324" spans="1:8" s="47" customFormat="1" ht="15.75">
      <c r="A324" s="99"/>
      <c r="B324" s="129" t="s">
        <v>165</v>
      </c>
      <c r="C324" s="103" t="s">
        <v>2</v>
      </c>
      <c r="D324" s="174">
        <v>14.4</v>
      </c>
      <c r="E324" s="284">
        <v>100</v>
      </c>
      <c r="F324" s="49">
        <v>14.4</v>
      </c>
      <c r="G324" s="50"/>
      <c r="H324" s="45" t="s">
        <v>51</v>
      </c>
    </row>
    <row r="325" spans="1:8" s="47" customFormat="1" ht="15.75">
      <c r="A325" s="99"/>
      <c r="B325" s="119" t="s">
        <v>174</v>
      </c>
      <c r="C325" s="244" t="s">
        <v>2</v>
      </c>
      <c r="D325" s="288">
        <v>4360</v>
      </c>
      <c r="E325" s="246">
        <v>60</v>
      </c>
      <c r="F325" s="289">
        <f>ROUND((D325*E325%),0)</f>
        <v>2616</v>
      </c>
      <c r="G325" s="290"/>
      <c r="H325" s="238" t="s">
        <v>101</v>
      </c>
    </row>
    <row r="326" spans="1:8" s="47" customFormat="1" ht="15.75">
      <c r="A326" s="101"/>
      <c r="B326" s="366" t="s">
        <v>362</v>
      </c>
      <c r="C326" s="74"/>
      <c r="D326" s="174"/>
      <c r="E326" s="284"/>
      <c r="F326" s="44"/>
      <c r="G326" s="50"/>
      <c r="H326" s="58"/>
    </row>
    <row r="327" spans="1:8" s="47" customFormat="1" ht="15" customHeight="1">
      <c r="A327" s="101"/>
      <c r="B327" s="129" t="s">
        <v>166</v>
      </c>
      <c r="C327" s="74" t="s">
        <v>11</v>
      </c>
      <c r="D327" s="174">
        <v>4</v>
      </c>
      <c r="E327" s="284">
        <v>100</v>
      </c>
      <c r="F327" s="216">
        <v>4</v>
      </c>
      <c r="G327" s="50"/>
      <c r="H327" s="444" t="s">
        <v>404</v>
      </c>
    </row>
    <row r="328" spans="1:8" s="47" customFormat="1" ht="32.25" customHeight="1">
      <c r="A328" s="101"/>
      <c r="B328" s="291" t="s">
        <v>363</v>
      </c>
      <c r="C328" s="223" t="s">
        <v>2</v>
      </c>
      <c r="D328" s="203">
        <v>1210</v>
      </c>
      <c r="E328" s="284">
        <v>60</v>
      </c>
      <c r="F328" s="250">
        <v>726</v>
      </c>
      <c r="G328" s="50"/>
      <c r="H328" s="445"/>
    </row>
    <row r="329" spans="1:8" s="47" customFormat="1" ht="16.5" thickBot="1">
      <c r="A329" s="100"/>
      <c r="B329" s="286" t="s">
        <v>157</v>
      </c>
      <c r="C329" s="102" t="s">
        <v>2</v>
      </c>
      <c r="D329" s="204">
        <v>1210</v>
      </c>
      <c r="E329" s="55">
        <v>80</v>
      </c>
      <c r="F329" s="255">
        <f>ROUND((D329*E329%),0)</f>
        <v>968</v>
      </c>
      <c r="G329" s="61"/>
      <c r="H329" s="63" t="s">
        <v>136</v>
      </c>
    </row>
    <row r="330" spans="1:8" s="47" customFormat="1" ht="16.5" thickBot="1">
      <c r="A330" s="160" t="s">
        <v>32</v>
      </c>
      <c r="B330" s="292" t="s">
        <v>124</v>
      </c>
      <c r="C330" s="161"/>
      <c r="D330" s="162"/>
      <c r="E330" s="163"/>
      <c r="F330" s="163"/>
      <c r="G330" s="163"/>
      <c r="H330" s="271"/>
    </row>
    <row r="331" spans="1:8" s="47" customFormat="1" ht="15.75">
      <c r="A331" s="101"/>
      <c r="B331" s="133" t="s">
        <v>152</v>
      </c>
      <c r="C331" s="103" t="s">
        <v>1</v>
      </c>
      <c r="D331" s="144"/>
      <c r="E331" s="49"/>
      <c r="F331" s="49">
        <v>795</v>
      </c>
      <c r="G331" s="49"/>
      <c r="H331" s="45"/>
    </row>
    <row r="332" spans="1:8" s="47" customFormat="1" ht="15.75">
      <c r="A332" s="101"/>
      <c r="B332" s="291" t="s">
        <v>160</v>
      </c>
      <c r="C332" s="223" t="s">
        <v>2</v>
      </c>
      <c r="D332" s="470" t="s">
        <v>265</v>
      </c>
      <c r="E332" s="471"/>
      <c r="F332" s="293">
        <f>F331*0.6</f>
        <v>477</v>
      </c>
      <c r="G332" s="294" t="s">
        <v>5</v>
      </c>
      <c r="H332" s="238" t="s">
        <v>48</v>
      </c>
    </row>
    <row r="333" spans="1:8" s="47" customFormat="1" ht="15.75" customHeight="1">
      <c r="A333" s="101"/>
      <c r="B333" s="129" t="s">
        <v>174</v>
      </c>
      <c r="C333" s="74" t="s">
        <v>2</v>
      </c>
      <c r="D333" s="203">
        <v>5352.8</v>
      </c>
      <c r="E333" s="44">
        <v>60</v>
      </c>
      <c r="F333" s="216">
        <f>ROUND((D333*E333%),0)</f>
        <v>3212</v>
      </c>
      <c r="G333" s="75"/>
      <c r="H333" s="58" t="s">
        <v>236</v>
      </c>
    </row>
    <row r="334" spans="1:8" s="47" customFormat="1" ht="15.75">
      <c r="A334" s="101"/>
      <c r="B334" s="129" t="s">
        <v>64</v>
      </c>
      <c r="C334" s="74" t="s">
        <v>2</v>
      </c>
      <c r="D334" s="174">
        <v>20.7</v>
      </c>
      <c r="E334" s="284">
        <v>100</v>
      </c>
      <c r="F334" s="44">
        <v>20.7</v>
      </c>
      <c r="G334" s="50"/>
      <c r="H334" s="51" t="s">
        <v>50</v>
      </c>
    </row>
    <row r="335" spans="1:8" s="47" customFormat="1" ht="15.75">
      <c r="A335" s="101"/>
      <c r="B335" s="129" t="s">
        <v>164</v>
      </c>
      <c r="C335" s="295" t="s">
        <v>2</v>
      </c>
      <c r="D335" s="254">
        <v>20.7</v>
      </c>
      <c r="E335" s="296">
        <v>80</v>
      </c>
      <c r="F335" s="208">
        <f>F334*0.8</f>
        <v>16.56</v>
      </c>
      <c r="G335" s="64"/>
      <c r="H335" s="45" t="s">
        <v>51</v>
      </c>
    </row>
    <row r="336" spans="1:8" s="47" customFormat="1" ht="15.75">
      <c r="A336" s="101"/>
      <c r="B336" s="129" t="s">
        <v>165</v>
      </c>
      <c r="C336" s="295" t="s">
        <v>2</v>
      </c>
      <c r="D336" s="174">
        <v>20.7</v>
      </c>
      <c r="E336" s="284">
        <v>100</v>
      </c>
      <c r="F336" s="49">
        <v>20.7</v>
      </c>
      <c r="G336" s="50"/>
      <c r="H336" s="45" t="s">
        <v>51</v>
      </c>
    </row>
    <row r="337" spans="1:8" s="47" customFormat="1" ht="48" customHeight="1" thickBot="1">
      <c r="A337" s="262"/>
      <c r="B337" s="130" t="s">
        <v>166</v>
      </c>
      <c r="C337" s="297" t="s">
        <v>11</v>
      </c>
      <c r="D337" s="298">
        <v>1</v>
      </c>
      <c r="E337" s="298">
        <v>100</v>
      </c>
      <c r="F337" s="55">
        <v>1</v>
      </c>
      <c r="G337" s="299"/>
      <c r="H337" s="73" t="s">
        <v>405</v>
      </c>
    </row>
    <row r="338" spans="1:8" s="47" customFormat="1" ht="18" customHeight="1" thickBot="1">
      <c r="A338" s="160" t="s">
        <v>141</v>
      </c>
      <c r="B338" s="251" t="s">
        <v>125</v>
      </c>
      <c r="C338" s="161"/>
      <c r="D338" s="162"/>
      <c r="E338" s="163"/>
      <c r="F338" s="163"/>
      <c r="G338" s="163"/>
      <c r="H338" s="164"/>
    </row>
    <row r="339" spans="1:8" s="47" customFormat="1" ht="15.75">
      <c r="A339" s="101"/>
      <c r="B339" s="133" t="s">
        <v>152</v>
      </c>
      <c r="C339" s="103" t="s">
        <v>1</v>
      </c>
      <c r="D339" s="300"/>
      <c r="E339" s="49"/>
      <c r="F339" s="49">
        <v>266</v>
      </c>
      <c r="G339" s="301"/>
      <c r="H339" s="51"/>
    </row>
    <row r="340" spans="1:8" s="47" customFormat="1" ht="15.75">
      <c r="A340" s="101"/>
      <c r="B340" s="129" t="s">
        <v>160</v>
      </c>
      <c r="C340" s="74" t="s">
        <v>2</v>
      </c>
      <c r="D340" s="462" t="s">
        <v>266</v>
      </c>
      <c r="E340" s="463"/>
      <c r="F340" s="216">
        <f>F339*0.6</f>
        <v>159.6</v>
      </c>
      <c r="G340" s="294" t="s">
        <v>5</v>
      </c>
      <c r="H340" s="46" t="s">
        <v>48</v>
      </c>
    </row>
    <row r="341" spans="1:8" s="47" customFormat="1" ht="16.5" customHeight="1" thickBot="1">
      <c r="A341" s="262"/>
      <c r="B341" s="130" t="s">
        <v>174</v>
      </c>
      <c r="C341" s="102" t="s">
        <v>2</v>
      </c>
      <c r="D341" s="205">
        <v>1710.4</v>
      </c>
      <c r="E341" s="61">
        <v>60</v>
      </c>
      <c r="F341" s="255">
        <f>ROUND((D341*E341%),0)</f>
        <v>1026</v>
      </c>
      <c r="G341" s="302"/>
      <c r="H341" s="303" t="s">
        <v>236</v>
      </c>
    </row>
    <row r="342" spans="1:8" s="47" customFormat="1" ht="19.5" customHeight="1" thickBot="1">
      <c r="A342" s="160" t="s">
        <v>33</v>
      </c>
      <c r="B342" s="251" t="s">
        <v>126</v>
      </c>
      <c r="C342" s="161"/>
      <c r="D342" s="162"/>
      <c r="E342" s="163"/>
      <c r="F342" s="163"/>
      <c r="G342" s="163"/>
      <c r="H342" s="164"/>
    </row>
    <row r="343" spans="1:8" s="47" customFormat="1" ht="17.25" customHeight="1">
      <c r="A343" s="101"/>
      <c r="B343" s="133" t="s">
        <v>152</v>
      </c>
      <c r="C343" s="103" t="s">
        <v>1</v>
      </c>
      <c r="D343" s="144"/>
      <c r="E343" s="49"/>
      <c r="F343" s="49">
        <v>372</v>
      </c>
      <c r="G343" s="49"/>
      <c r="H343" s="45"/>
    </row>
    <row r="344" spans="1:8" s="47" customFormat="1" ht="15.75" customHeight="1">
      <c r="A344" s="99"/>
      <c r="B344" s="122" t="s">
        <v>160</v>
      </c>
      <c r="C344" s="103" t="s">
        <v>2</v>
      </c>
      <c r="D344" s="472" t="s">
        <v>267</v>
      </c>
      <c r="E344" s="473"/>
      <c r="F344" s="208">
        <f>F343*0.6</f>
        <v>223.2</v>
      </c>
      <c r="G344" s="294" t="s">
        <v>5</v>
      </c>
      <c r="H344" s="51" t="s">
        <v>48</v>
      </c>
    </row>
    <row r="345" spans="1:8" s="47" customFormat="1" ht="16.5" thickBot="1">
      <c r="A345" s="100"/>
      <c r="B345" s="128" t="s">
        <v>174</v>
      </c>
      <c r="C345" s="143" t="s">
        <v>2</v>
      </c>
      <c r="D345" s="204">
        <v>2285.6</v>
      </c>
      <c r="E345" s="55">
        <v>60</v>
      </c>
      <c r="F345" s="255">
        <f>ROUND((D345*E345%),0)</f>
        <v>1371</v>
      </c>
      <c r="G345" s="285"/>
      <c r="H345" s="63" t="s">
        <v>236</v>
      </c>
    </row>
    <row r="346" spans="1:8" s="47" customFormat="1" ht="16.5" thickBot="1">
      <c r="A346" s="160" t="s">
        <v>34</v>
      </c>
      <c r="B346" s="251" t="s">
        <v>127</v>
      </c>
      <c r="C346" s="161"/>
      <c r="D346" s="162"/>
      <c r="E346" s="163"/>
      <c r="F346" s="163"/>
      <c r="G346" s="163"/>
      <c r="H346" s="164"/>
    </row>
    <row r="347" spans="1:8" s="47" customFormat="1" ht="15.75">
      <c r="A347" s="99"/>
      <c r="B347" s="122" t="s">
        <v>152</v>
      </c>
      <c r="C347" s="103" t="s">
        <v>1</v>
      </c>
      <c r="D347" s="144"/>
      <c r="E347" s="49"/>
      <c r="F347" s="208">
        <v>81</v>
      </c>
      <c r="G347" s="49"/>
      <c r="H347" s="45"/>
    </row>
    <row r="348" spans="1:8" s="47" customFormat="1" ht="15.75">
      <c r="A348" s="101"/>
      <c r="B348" s="129" t="s">
        <v>160</v>
      </c>
      <c r="C348" s="74" t="s">
        <v>2</v>
      </c>
      <c r="D348" s="462" t="s">
        <v>268</v>
      </c>
      <c r="E348" s="463"/>
      <c r="F348" s="208">
        <f>F347*0.6</f>
        <v>48.6</v>
      </c>
      <c r="G348" s="294" t="s">
        <v>5</v>
      </c>
      <c r="H348" s="58" t="s">
        <v>48</v>
      </c>
    </row>
    <row r="349" spans="1:8" s="47" customFormat="1" ht="16.5" thickBot="1">
      <c r="A349" s="100"/>
      <c r="B349" s="128" t="s">
        <v>174</v>
      </c>
      <c r="C349" s="143" t="s">
        <v>2</v>
      </c>
      <c r="D349" s="204">
        <v>502.7</v>
      </c>
      <c r="E349" s="55">
        <v>60</v>
      </c>
      <c r="F349" s="255">
        <f>ROUND((D349*E349%),0)</f>
        <v>302</v>
      </c>
      <c r="G349" s="285"/>
      <c r="H349" s="56" t="s">
        <v>101</v>
      </c>
    </row>
    <row r="350" spans="1:8" s="47" customFormat="1" ht="18" customHeight="1" thickBot="1">
      <c r="A350" s="160" t="s">
        <v>36</v>
      </c>
      <c r="B350" s="251" t="s">
        <v>49</v>
      </c>
      <c r="C350" s="161"/>
      <c r="D350" s="162"/>
      <c r="E350" s="163"/>
      <c r="F350" s="163"/>
      <c r="G350" s="163"/>
      <c r="H350" s="164"/>
    </row>
    <row r="351" spans="1:8" s="47" customFormat="1" ht="15.75">
      <c r="A351" s="101"/>
      <c r="B351" s="133" t="s">
        <v>237</v>
      </c>
      <c r="C351" s="103" t="s">
        <v>2</v>
      </c>
      <c r="D351" s="207">
        <v>45286</v>
      </c>
      <c r="E351" s="49">
        <v>60</v>
      </c>
      <c r="F351" s="208">
        <f aca="true" t="shared" si="15" ref="F351:F370">ROUND((D351*E351%),0)</f>
        <v>27172</v>
      </c>
      <c r="G351" s="53"/>
      <c r="H351" s="45" t="s">
        <v>48</v>
      </c>
    </row>
    <row r="352" spans="1:8" s="47" customFormat="1" ht="16.5" customHeight="1" thickBot="1">
      <c r="A352" s="100"/>
      <c r="B352" s="275" t="s">
        <v>157</v>
      </c>
      <c r="C352" s="143" t="s">
        <v>2</v>
      </c>
      <c r="D352" s="204">
        <v>45286</v>
      </c>
      <c r="E352" s="55">
        <v>90</v>
      </c>
      <c r="F352" s="255">
        <f t="shared" si="15"/>
        <v>40757</v>
      </c>
      <c r="G352" s="55"/>
      <c r="H352" s="73" t="s">
        <v>145</v>
      </c>
    </row>
    <row r="353" spans="1:8" s="47" customFormat="1" ht="16.5" thickBot="1">
      <c r="A353" s="160" t="s">
        <v>43</v>
      </c>
      <c r="B353" s="251" t="s">
        <v>346</v>
      </c>
      <c r="C353" s="161"/>
      <c r="D353" s="304"/>
      <c r="E353" s="163"/>
      <c r="F353" s="163"/>
      <c r="G353" s="163"/>
      <c r="H353" s="164"/>
    </row>
    <row r="354" spans="1:8" s="47" customFormat="1" ht="15.75">
      <c r="A354" s="99"/>
      <c r="B354" s="165" t="s">
        <v>58</v>
      </c>
      <c r="C354" s="103" t="s">
        <v>2</v>
      </c>
      <c r="D354" s="207">
        <f>4613+99</f>
        <v>4712</v>
      </c>
      <c r="E354" s="49">
        <v>80</v>
      </c>
      <c r="F354" s="208">
        <f t="shared" si="15"/>
        <v>3770</v>
      </c>
      <c r="G354" s="59"/>
      <c r="H354" s="51" t="s">
        <v>42</v>
      </c>
    </row>
    <row r="355" spans="1:8" s="47" customFormat="1" ht="15.75">
      <c r="A355" s="101"/>
      <c r="B355" s="129" t="s">
        <v>150</v>
      </c>
      <c r="C355" s="74" t="s">
        <v>2</v>
      </c>
      <c r="D355" s="203">
        <v>1691.3</v>
      </c>
      <c r="E355" s="44">
        <v>30</v>
      </c>
      <c r="F355" s="216">
        <f t="shared" si="15"/>
        <v>507</v>
      </c>
      <c r="G355" s="50" t="s">
        <v>5</v>
      </c>
      <c r="H355" s="58" t="s">
        <v>51</v>
      </c>
    </row>
    <row r="356" spans="1:8" s="47" customFormat="1" ht="15.75">
      <c r="A356" s="99"/>
      <c r="B356" s="165" t="s">
        <v>395</v>
      </c>
      <c r="C356" s="103" t="s">
        <v>2</v>
      </c>
      <c r="D356" s="207">
        <f>D355</f>
        <v>1691.3</v>
      </c>
      <c r="E356" s="49">
        <v>30</v>
      </c>
      <c r="F356" s="216">
        <f t="shared" si="15"/>
        <v>507</v>
      </c>
      <c r="G356" s="49"/>
      <c r="H356" s="45" t="s">
        <v>52</v>
      </c>
    </row>
    <row r="357" spans="1:8" s="47" customFormat="1" ht="16.5" thickBot="1">
      <c r="A357" s="100"/>
      <c r="B357" s="136" t="s">
        <v>157</v>
      </c>
      <c r="C357" s="102" t="s">
        <v>2</v>
      </c>
      <c r="D357" s="204">
        <v>4613</v>
      </c>
      <c r="E357" s="61">
        <v>70</v>
      </c>
      <c r="F357" s="255">
        <f t="shared" si="15"/>
        <v>3229</v>
      </c>
      <c r="G357" s="55"/>
      <c r="H357" s="63" t="s">
        <v>144</v>
      </c>
    </row>
    <row r="358" spans="1:8" s="47" customFormat="1" ht="16.5" thickBot="1">
      <c r="A358" s="160" t="s">
        <v>44</v>
      </c>
      <c r="B358" s="251" t="s">
        <v>96</v>
      </c>
      <c r="C358" s="161"/>
      <c r="D358" s="162"/>
      <c r="E358" s="163"/>
      <c r="F358" s="163"/>
      <c r="G358" s="163"/>
      <c r="H358" s="164"/>
    </row>
    <row r="359" spans="1:8" s="47" customFormat="1" ht="14.25" customHeight="1">
      <c r="A359" s="99"/>
      <c r="B359" s="165" t="s">
        <v>60</v>
      </c>
      <c r="C359" s="103" t="s">
        <v>2</v>
      </c>
      <c r="D359" s="207">
        <v>906</v>
      </c>
      <c r="E359" s="49">
        <v>70</v>
      </c>
      <c r="F359" s="208">
        <f t="shared" si="15"/>
        <v>634</v>
      </c>
      <c r="G359" s="59"/>
      <c r="H359" s="51" t="s">
        <v>146</v>
      </c>
    </row>
    <row r="360" spans="1:8" s="47" customFormat="1" ht="16.5" customHeight="1" thickBot="1">
      <c r="A360" s="100"/>
      <c r="B360" s="136" t="s">
        <v>157</v>
      </c>
      <c r="C360" s="102" t="s">
        <v>2</v>
      </c>
      <c r="D360" s="204">
        <v>906</v>
      </c>
      <c r="E360" s="61">
        <v>80</v>
      </c>
      <c r="F360" s="255">
        <f t="shared" si="15"/>
        <v>725</v>
      </c>
      <c r="G360" s="55"/>
      <c r="H360" s="63" t="s">
        <v>144</v>
      </c>
    </row>
    <row r="361" spans="1:8" s="47" customFormat="1" ht="18" customHeight="1" thickBot="1">
      <c r="A361" s="160" t="s">
        <v>45</v>
      </c>
      <c r="B361" s="251" t="s">
        <v>270</v>
      </c>
      <c r="C361" s="161"/>
      <c r="D361" s="304"/>
      <c r="E361" s="163"/>
      <c r="F361" s="163"/>
      <c r="G361" s="163"/>
      <c r="H361" s="164"/>
    </row>
    <row r="362" spans="1:8" s="47" customFormat="1" ht="15" customHeight="1">
      <c r="A362" s="99"/>
      <c r="B362" s="165" t="s">
        <v>60</v>
      </c>
      <c r="C362" s="103" t="s">
        <v>2</v>
      </c>
      <c r="D362" s="207">
        <v>9150</v>
      </c>
      <c r="E362" s="49">
        <v>70</v>
      </c>
      <c r="F362" s="208">
        <f t="shared" si="15"/>
        <v>6405</v>
      </c>
      <c r="G362" s="59"/>
      <c r="H362" s="51" t="s">
        <v>146</v>
      </c>
    </row>
    <row r="363" spans="1:8" s="47" customFormat="1" ht="15" customHeight="1" thickBot="1">
      <c r="A363" s="100"/>
      <c r="B363" s="136" t="s">
        <v>157</v>
      </c>
      <c r="C363" s="102" t="s">
        <v>2</v>
      </c>
      <c r="D363" s="205">
        <v>9150</v>
      </c>
      <c r="E363" s="61">
        <v>80</v>
      </c>
      <c r="F363" s="255">
        <f t="shared" si="15"/>
        <v>7320</v>
      </c>
      <c r="G363" s="61"/>
      <c r="H363" s="63" t="s">
        <v>144</v>
      </c>
    </row>
    <row r="364" spans="1:8" s="47" customFormat="1" ht="20.25" customHeight="1" thickBot="1">
      <c r="A364" s="160" t="s">
        <v>133</v>
      </c>
      <c r="B364" s="159" t="s">
        <v>130</v>
      </c>
      <c r="C364" s="305"/>
      <c r="D364" s="306"/>
      <c r="E364" s="307"/>
      <c r="F364" s="163"/>
      <c r="G364" s="163"/>
      <c r="H364" s="164"/>
    </row>
    <row r="365" spans="1:8" s="47" customFormat="1" ht="17.25" customHeight="1">
      <c r="A365" s="99"/>
      <c r="B365" s="122" t="s">
        <v>59</v>
      </c>
      <c r="C365" s="103" t="s">
        <v>2</v>
      </c>
      <c r="D365" s="207">
        <v>16207</v>
      </c>
      <c r="E365" s="49">
        <v>80</v>
      </c>
      <c r="F365" s="208">
        <f t="shared" si="15"/>
        <v>12966</v>
      </c>
      <c r="G365" s="59"/>
      <c r="H365" s="45" t="s">
        <v>140</v>
      </c>
    </row>
    <row r="366" spans="1:8" s="47" customFormat="1" ht="16.5" customHeight="1" thickBot="1">
      <c r="A366" s="100"/>
      <c r="B366" s="128" t="s">
        <v>157</v>
      </c>
      <c r="C366" s="143" t="s">
        <v>2</v>
      </c>
      <c r="D366" s="204">
        <v>16207</v>
      </c>
      <c r="E366" s="55">
        <v>70</v>
      </c>
      <c r="F366" s="255">
        <f t="shared" si="15"/>
        <v>11345</v>
      </c>
      <c r="G366" s="55"/>
      <c r="H366" s="73" t="s">
        <v>145</v>
      </c>
    </row>
    <row r="367" spans="1:8" s="47" customFormat="1" ht="19.5" customHeight="1" thickBot="1">
      <c r="A367" s="160" t="s">
        <v>134</v>
      </c>
      <c r="B367" s="251" t="s">
        <v>273</v>
      </c>
      <c r="C367" s="161"/>
      <c r="D367" s="162"/>
      <c r="E367" s="163"/>
      <c r="F367" s="163"/>
      <c r="G367" s="163"/>
      <c r="H367" s="164"/>
    </row>
    <row r="368" spans="1:8" s="47" customFormat="1" ht="17.25" customHeight="1">
      <c r="A368" s="101"/>
      <c r="B368" s="165" t="s">
        <v>57</v>
      </c>
      <c r="C368" s="103" t="s">
        <v>2</v>
      </c>
      <c r="D368" s="207">
        <f>D376+D375+186</f>
        <v>17021</v>
      </c>
      <c r="E368" s="49">
        <v>80</v>
      </c>
      <c r="F368" s="208">
        <f t="shared" si="15"/>
        <v>13617</v>
      </c>
      <c r="G368" s="59"/>
      <c r="H368" s="45" t="s">
        <v>147</v>
      </c>
    </row>
    <row r="369" spans="1:8" s="47" customFormat="1" ht="17.25" customHeight="1">
      <c r="A369" s="101"/>
      <c r="B369" s="125" t="s">
        <v>179</v>
      </c>
      <c r="C369" s="74" t="s">
        <v>302</v>
      </c>
      <c r="D369" s="203"/>
      <c r="E369" s="44"/>
      <c r="F369" s="44">
        <v>543.1</v>
      </c>
      <c r="G369" s="44"/>
      <c r="H369" s="46"/>
    </row>
    <row r="370" spans="1:8" s="47" customFormat="1" ht="18" customHeight="1">
      <c r="A370" s="101"/>
      <c r="B370" s="165" t="s">
        <v>55</v>
      </c>
      <c r="C370" s="103" t="s">
        <v>2</v>
      </c>
      <c r="D370" s="207">
        <v>1438</v>
      </c>
      <c r="E370" s="44">
        <v>40</v>
      </c>
      <c r="F370" s="216">
        <f t="shared" si="15"/>
        <v>575</v>
      </c>
      <c r="G370" s="64" t="s">
        <v>194</v>
      </c>
      <c r="H370" s="45" t="s">
        <v>41</v>
      </c>
    </row>
    <row r="371" spans="1:8" s="47" customFormat="1" ht="21.75" customHeight="1">
      <c r="A371" s="101"/>
      <c r="B371" s="125" t="s">
        <v>166</v>
      </c>
      <c r="C371" s="74" t="s">
        <v>11</v>
      </c>
      <c r="D371" s="145">
        <v>18</v>
      </c>
      <c r="E371" s="44">
        <v>100</v>
      </c>
      <c r="F371" s="44">
        <v>18</v>
      </c>
      <c r="G371" s="44"/>
      <c r="H371" s="467" t="s">
        <v>287</v>
      </c>
    </row>
    <row r="372" spans="1:8" s="47" customFormat="1" ht="22.5" customHeight="1">
      <c r="A372" s="101"/>
      <c r="B372" s="126" t="s">
        <v>76</v>
      </c>
      <c r="C372" s="308" t="s">
        <v>38</v>
      </c>
      <c r="D372" s="309" t="s">
        <v>77</v>
      </c>
      <c r="E372" s="225">
        <v>100</v>
      </c>
      <c r="F372" s="310" t="s">
        <v>77</v>
      </c>
      <c r="G372" s="225"/>
      <c r="H372" s="469"/>
    </row>
    <row r="373" spans="1:8" s="47" customFormat="1" ht="15.75" customHeight="1">
      <c r="A373" s="101"/>
      <c r="B373" s="129" t="s">
        <v>150</v>
      </c>
      <c r="C373" s="74" t="s">
        <v>2</v>
      </c>
      <c r="D373" s="203">
        <v>1438</v>
      </c>
      <c r="E373" s="44">
        <v>30</v>
      </c>
      <c r="F373" s="216">
        <f aca="true" t="shared" si="16" ref="F373:F378">ROUND((D373*E373%),0)</f>
        <v>431</v>
      </c>
      <c r="G373" s="54"/>
      <c r="H373" s="58" t="s">
        <v>51</v>
      </c>
    </row>
    <row r="374" spans="1:9" s="47" customFormat="1" ht="19.5" customHeight="1">
      <c r="A374" s="101"/>
      <c r="B374" s="133" t="s">
        <v>210</v>
      </c>
      <c r="C374" s="103" t="s">
        <v>2</v>
      </c>
      <c r="D374" s="207">
        <v>1438</v>
      </c>
      <c r="E374" s="49">
        <v>60</v>
      </c>
      <c r="F374" s="208">
        <f t="shared" si="16"/>
        <v>863</v>
      </c>
      <c r="G374" s="53"/>
      <c r="H374" s="51" t="s">
        <v>51</v>
      </c>
      <c r="I374" s="311"/>
    </row>
    <row r="375" spans="1:8" s="47" customFormat="1" ht="15.75">
      <c r="A375" s="101"/>
      <c r="B375" s="125" t="s">
        <v>395</v>
      </c>
      <c r="C375" s="74" t="s">
        <v>2</v>
      </c>
      <c r="D375" s="203">
        <v>1438</v>
      </c>
      <c r="E375" s="44">
        <v>30</v>
      </c>
      <c r="F375" s="216">
        <f t="shared" si="16"/>
        <v>431</v>
      </c>
      <c r="G375" s="44"/>
      <c r="H375" s="46" t="s">
        <v>406</v>
      </c>
    </row>
    <row r="376" spans="1:8" s="47" customFormat="1" ht="15.75">
      <c r="A376" s="101"/>
      <c r="B376" s="125" t="s">
        <v>292</v>
      </c>
      <c r="C376" s="74" t="s">
        <v>2</v>
      </c>
      <c r="D376" s="203">
        <v>15397</v>
      </c>
      <c r="E376" s="44">
        <v>60</v>
      </c>
      <c r="F376" s="216">
        <f t="shared" si="16"/>
        <v>9238</v>
      </c>
      <c r="G376" s="54"/>
      <c r="H376" s="46" t="s">
        <v>303</v>
      </c>
    </row>
    <row r="377" spans="1:8" s="47" customFormat="1" ht="15.75">
      <c r="A377" s="101"/>
      <c r="B377" s="125" t="s">
        <v>292</v>
      </c>
      <c r="C377" s="74" t="s">
        <v>2</v>
      </c>
      <c r="D377" s="203">
        <v>15397</v>
      </c>
      <c r="E377" s="44">
        <v>10</v>
      </c>
      <c r="F377" s="216">
        <f t="shared" si="16"/>
        <v>1540</v>
      </c>
      <c r="G377" s="54"/>
      <c r="H377" s="46" t="s">
        <v>344</v>
      </c>
    </row>
    <row r="378" spans="1:8" s="47" customFormat="1" ht="18.75" customHeight="1" thickBot="1">
      <c r="A378" s="262"/>
      <c r="B378" s="130" t="s">
        <v>157</v>
      </c>
      <c r="C378" s="143" t="s">
        <v>2</v>
      </c>
      <c r="D378" s="204">
        <v>15397</v>
      </c>
      <c r="E378" s="61">
        <v>50</v>
      </c>
      <c r="F378" s="255">
        <f t="shared" si="16"/>
        <v>7699</v>
      </c>
      <c r="G378" s="55"/>
      <c r="H378" s="73" t="s">
        <v>144</v>
      </c>
    </row>
    <row r="379" spans="1:8" s="47" customFormat="1" ht="16.5" thickBot="1">
      <c r="A379" s="160" t="s">
        <v>138</v>
      </c>
      <c r="B379" s="159" t="s">
        <v>272</v>
      </c>
      <c r="C379" s="161"/>
      <c r="D379" s="162"/>
      <c r="E379" s="163"/>
      <c r="F379" s="163"/>
      <c r="G379" s="163"/>
      <c r="H379" s="164"/>
    </row>
    <row r="380" spans="1:8" s="47" customFormat="1" ht="15.75">
      <c r="A380" s="101"/>
      <c r="B380" s="118" t="s">
        <v>176</v>
      </c>
      <c r="C380" s="103" t="s">
        <v>2</v>
      </c>
      <c r="D380" s="207">
        <f>1199+44306+76</f>
        <v>45581</v>
      </c>
      <c r="E380" s="49">
        <v>80</v>
      </c>
      <c r="F380" s="208">
        <f>ROUND((D380*E380%),0)</f>
        <v>36465</v>
      </c>
      <c r="G380" s="59"/>
      <c r="H380" s="45" t="s">
        <v>41</v>
      </c>
    </row>
    <row r="381" spans="1:8" s="47" customFormat="1" ht="15.75">
      <c r="A381" s="101"/>
      <c r="B381" s="125" t="s">
        <v>179</v>
      </c>
      <c r="C381" s="74" t="s">
        <v>302</v>
      </c>
      <c r="D381" s="207"/>
      <c r="E381" s="44"/>
      <c r="F381" s="216">
        <v>475.2</v>
      </c>
      <c r="G381" s="75"/>
      <c r="H381" s="45"/>
    </row>
    <row r="382" spans="1:8" s="47" customFormat="1" ht="15.75">
      <c r="A382" s="101"/>
      <c r="B382" s="129" t="s">
        <v>55</v>
      </c>
      <c r="C382" s="74" t="s">
        <v>2</v>
      </c>
      <c r="D382" s="203">
        <f>1199+825</f>
        <v>2024</v>
      </c>
      <c r="E382" s="44">
        <v>60</v>
      </c>
      <c r="F382" s="216">
        <f>ROUND((D382*E382%),0)</f>
        <v>1214</v>
      </c>
      <c r="G382" s="50" t="s">
        <v>194</v>
      </c>
      <c r="H382" s="58" t="s">
        <v>41</v>
      </c>
    </row>
    <row r="383" spans="1:8" s="47" customFormat="1" ht="22.5" customHeight="1">
      <c r="A383" s="101"/>
      <c r="B383" s="125" t="s">
        <v>166</v>
      </c>
      <c r="C383" s="103" t="s">
        <v>11</v>
      </c>
      <c r="D383" s="144">
        <v>5</v>
      </c>
      <c r="E383" s="49">
        <v>100</v>
      </c>
      <c r="F383" s="49">
        <v>5</v>
      </c>
      <c r="G383" s="49"/>
      <c r="H383" s="467" t="s">
        <v>287</v>
      </c>
    </row>
    <row r="384" spans="1:8" s="47" customFormat="1" ht="23.25" customHeight="1">
      <c r="A384" s="101"/>
      <c r="B384" s="129" t="s">
        <v>76</v>
      </c>
      <c r="C384" s="70" t="s">
        <v>38</v>
      </c>
      <c r="D384" s="145" t="s">
        <v>278</v>
      </c>
      <c r="E384" s="44">
        <v>100</v>
      </c>
      <c r="F384" s="284" t="str">
        <f>D384</f>
        <v>16/76,8</v>
      </c>
      <c r="G384" s="44"/>
      <c r="H384" s="468"/>
    </row>
    <row r="385" spans="1:9" s="47" customFormat="1" ht="15.75">
      <c r="A385" s="101"/>
      <c r="B385" s="133" t="s">
        <v>150</v>
      </c>
      <c r="C385" s="103" t="s">
        <v>2</v>
      </c>
      <c r="D385" s="207">
        <f>D382</f>
        <v>2024</v>
      </c>
      <c r="E385" s="49">
        <v>30</v>
      </c>
      <c r="F385" s="208">
        <f aca="true" t="shared" si="17" ref="F385:F390">ROUND((D385*E385%),0)</f>
        <v>607</v>
      </c>
      <c r="G385" s="53"/>
      <c r="H385" s="51" t="s">
        <v>51</v>
      </c>
      <c r="I385" s="311"/>
    </row>
    <row r="386" spans="1:9" s="47" customFormat="1" ht="17.25" customHeight="1">
      <c r="A386" s="101"/>
      <c r="B386" s="129" t="s">
        <v>210</v>
      </c>
      <c r="C386" s="74" t="s">
        <v>2</v>
      </c>
      <c r="D386" s="203">
        <v>2024</v>
      </c>
      <c r="E386" s="44">
        <v>60</v>
      </c>
      <c r="F386" s="216">
        <f t="shared" si="17"/>
        <v>1214</v>
      </c>
      <c r="G386" s="54"/>
      <c r="H386" s="58" t="s">
        <v>51</v>
      </c>
      <c r="I386" s="311"/>
    </row>
    <row r="387" spans="1:8" s="47" customFormat="1" ht="15.75" customHeight="1">
      <c r="A387" s="101"/>
      <c r="B387" s="165" t="s">
        <v>395</v>
      </c>
      <c r="C387" s="103" t="s">
        <v>2</v>
      </c>
      <c r="D387" s="207">
        <f>1199+825</f>
        <v>2024</v>
      </c>
      <c r="E387" s="44">
        <v>30</v>
      </c>
      <c r="F387" s="216">
        <f t="shared" si="17"/>
        <v>607</v>
      </c>
      <c r="G387" s="49"/>
      <c r="H387" s="46" t="s">
        <v>51</v>
      </c>
    </row>
    <row r="388" spans="1:8" s="47" customFormat="1" ht="15" customHeight="1">
      <c r="A388" s="101"/>
      <c r="B388" s="125" t="s">
        <v>292</v>
      </c>
      <c r="C388" s="74" t="s">
        <v>2</v>
      </c>
      <c r="D388" s="203">
        <v>44306</v>
      </c>
      <c r="E388" s="44">
        <v>80</v>
      </c>
      <c r="F388" s="216">
        <f t="shared" si="17"/>
        <v>35445</v>
      </c>
      <c r="G388" s="54"/>
      <c r="H388" s="46" t="s">
        <v>303</v>
      </c>
    </row>
    <row r="389" spans="1:8" s="47" customFormat="1" ht="14.25" customHeight="1">
      <c r="A389" s="101"/>
      <c r="B389" s="125" t="s">
        <v>292</v>
      </c>
      <c r="C389" s="74" t="s">
        <v>2</v>
      </c>
      <c r="D389" s="203">
        <v>44306</v>
      </c>
      <c r="E389" s="44">
        <v>10</v>
      </c>
      <c r="F389" s="216">
        <f t="shared" si="17"/>
        <v>4431</v>
      </c>
      <c r="G389" s="54"/>
      <c r="H389" s="46" t="s">
        <v>344</v>
      </c>
    </row>
    <row r="390" spans="1:8" s="47" customFormat="1" ht="16.5" customHeight="1" thickBot="1">
      <c r="A390" s="100"/>
      <c r="B390" s="136" t="s">
        <v>157</v>
      </c>
      <c r="C390" s="102" t="s">
        <v>2</v>
      </c>
      <c r="D390" s="205">
        <v>44306</v>
      </c>
      <c r="E390" s="61">
        <v>70</v>
      </c>
      <c r="F390" s="255">
        <f t="shared" si="17"/>
        <v>31014</v>
      </c>
      <c r="G390" s="61"/>
      <c r="H390" s="303" t="s">
        <v>144</v>
      </c>
    </row>
    <row r="391" spans="1:8" s="47" customFormat="1" ht="20.25" customHeight="1" thickBot="1">
      <c r="A391" s="160" t="s">
        <v>142</v>
      </c>
      <c r="B391" s="159" t="s">
        <v>333</v>
      </c>
      <c r="C391" s="161"/>
      <c r="D391" s="162"/>
      <c r="E391" s="163"/>
      <c r="F391" s="163"/>
      <c r="G391" s="163"/>
      <c r="H391" s="271"/>
    </row>
    <row r="392" spans="1:8" s="47" customFormat="1" ht="33" customHeight="1">
      <c r="A392" s="99"/>
      <c r="B392" s="171" t="s">
        <v>299</v>
      </c>
      <c r="C392" s="103" t="s">
        <v>2</v>
      </c>
      <c r="D392" s="207">
        <v>96925</v>
      </c>
      <c r="E392" s="241">
        <v>80</v>
      </c>
      <c r="F392" s="217">
        <f>ROUND((D392*E392%),0)</f>
        <v>77540</v>
      </c>
      <c r="G392" s="312"/>
      <c r="H392" s="45" t="s">
        <v>41</v>
      </c>
    </row>
    <row r="393" spans="1:8" s="47" customFormat="1" ht="15" customHeight="1">
      <c r="A393" s="99"/>
      <c r="B393" s="122" t="s">
        <v>179</v>
      </c>
      <c r="C393" s="103" t="s">
        <v>1</v>
      </c>
      <c r="D393" s="144"/>
      <c r="E393" s="44"/>
      <c r="F393" s="49">
        <v>2918</v>
      </c>
      <c r="G393" s="64"/>
      <c r="H393" s="45"/>
    </row>
    <row r="394" spans="1:8" s="47" customFormat="1" ht="16.5" customHeight="1">
      <c r="A394" s="99"/>
      <c r="B394" s="313" t="s">
        <v>83</v>
      </c>
      <c r="C394" s="103" t="s">
        <v>2</v>
      </c>
      <c r="D394" s="209">
        <f>D395+D396</f>
        <v>17876.2</v>
      </c>
      <c r="E394" s="66"/>
      <c r="F394" s="208">
        <f>F395+F396</f>
        <v>12658</v>
      </c>
      <c r="G394" s="64" t="s">
        <v>4</v>
      </c>
      <c r="H394" s="45" t="s">
        <v>41</v>
      </c>
    </row>
    <row r="395" spans="1:8" s="47" customFormat="1" ht="15.75" customHeight="1">
      <c r="A395" s="99"/>
      <c r="B395" s="88" t="s">
        <v>200</v>
      </c>
      <c r="C395" s="103" t="s">
        <v>2</v>
      </c>
      <c r="D395" s="209">
        <f>17293+17.8+37+46.2</f>
        <v>17394</v>
      </c>
      <c r="E395" s="49">
        <v>70</v>
      </c>
      <c r="F395" s="216">
        <f>ROUND((D395*E395%),0)</f>
        <v>12176</v>
      </c>
      <c r="G395" s="59"/>
      <c r="H395" s="45"/>
    </row>
    <row r="396" spans="1:8" s="47" customFormat="1" ht="20.25" customHeight="1">
      <c r="A396" s="101"/>
      <c r="B396" s="129" t="s">
        <v>84</v>
      </c>
      <c r="C396" s="74" t="s">
        <v>2</v>
      </c>
      <c r="D396" s="203">
        <f>399+61.2+22</f>
        <v>482.2</v>
      </c>
      <c r="E396" s="44">
        <v>100</v>
      </c>
      <c r="F396" s="216">
        <f>ROUND((D396*E396%),0)</f>
        <v>482</v>
      </c>
      <c r="G396" s="44"/>
      <c r="H396" s="46"/>
    </row>
    <row r="397" spans="1:8" s="47" customFormat="1" ht="24" customHeight="1">
      <c r="A397" s="99"/>
      <c r="B397" s="122" t="s">
        <v>76</v>
      </c>
      <c r="C397" s="172" t="s">
        <v>38</v>
      </c>
      <c r="D397" s="144" t="s">
        <v>286</v>
      </c>
      <c r="E397" s="241">
        <v>100</v>
      </c>
      <c r="F397" s="254" t="str">
        <f>D397</f>
        <v>76/364,8</v>
      </c>
      <c r="G397" s="172"/>
      <c r="H397" s="467" t="s">
        <v>287</v>
      </c>
    </row>
    <row r="398" spans="1:8" s="47" customFormat="1" ht="21.75" customHeight="1">
      <c r="A398" s="99"/>
      <c r="B398" s="135" t="s">
        <v>166</v>
      </c>
      <c r="C398" s="74" t="s">
        <v>11</v>
      </c>
      <c r="D398" s="145">
        <f>39+6</f>
        <v>45</v>
      </c>
      <c r="E398" s="241">
        <v>100</v>
      </c>
      <c r="F398" s="173">
        <f>39+6</f>
        <v>45</v>
      </c>
      <c r="G398" s="173"/>
      <c r="H398" s="468"/>
    </row>
    <row r="399" spans="1:8" s="47" customFormat="1" ht="15.75">
      <c r="A399" s="99"/>
      <c r="B399" s="124" t="s">
        <v>150</v>
      </c>
      <c r="C399" s="74" t="s">
        <v>2</v>
      </c>
      <c r="D399" s="203">
        <f>D395</f>
        <v>17394</v>
      </c>
      <c r="E399" s="44">
        <v>30</v>
      </c>
      <c r="F399" s="216">
        <f aca="true" t="shared" si="18" ref="F399:F406">ROUND((D399*E399%),0)</f>
        <v>5218</v>
      </c>
      <c r="G399" s="54"/>
      <c r="H399" s="46" t="s">
        <v>51</v>
      </c>
    </row>
    <row r="400" spans="1:8" s="47" customFormat="1" ht="15.75">
      <c r="A400" s="99"/>
      <c r="B400" s="122" t="s">
        <v>215</v>
      </c>
      <c r="C400" s="103" t="s">
        <v>2</v>
      </c>
      <c r="D400" s="207">
        <f>D396</f>
        <v>482.2</v>
      </c>
      <c r="E400" s="49">
        <v>100</v>
      </c>
      <c r="F400" s="216">
        <f t="shared" si="18"/>
        <v>482</v>
      </c>
      <c r="G400" s="53"/>
      <c r="H400" s="45" t="s">
        <v>51</v>
      </c>
    </row>
    <row r="401" spans="1:8" s="47" customFormat="1" ht="15.75">
      <c r="A401" s="101"/>
      <c r="B401" s="125" t="s">
        <v>210</v>
      </c>
      <c r="C401" s="74" t="s">
        <v>2</v>
      </c>
      <c r="D401" s="203">
        <f>D395</f>
        <v>17394</v>
      </c>
      <c r="E401" s="49">
        <v>30</v>
      </c>
      <c r="F401" s="216">
        <f t="shared" si="18"/>
        <v>5218</v>
      </c>
      <c r="G401" s="54"/>
      <c r="H401" s="46" t="s">
        <v>51</v>
      </c>
    </row>
    <row r="402" spans="1:8" s="47" customFormat="1" ht="15.75">
      <c r="A402" s="99"/>
      <c r="B402" s="124" t="s">
        <v>395</v>
      </c>
      <c r="C402" s="74" t="s">
        <v>2</v>
      </c>
      <c r="D402" s="203">
        <f>D395</f>
        <v>17394</v>
      </c>
      <c r="E402" s="44">
        <v>30</v>
      </c>
      <c r="F402" s="216">
        <f t="shared" si="18"/>
        <v>5218</v>
      </c>
      <c r="G402" s="44"/>
      <c r="H402" s="46" t="s">
        <v>52</v>
      </c>
    </row>
    <row r="403" spans="1:8" s="47" customFormat="1" ht="15.75">
      <c r="A403" s="99"/>
      <c r="B403" s="124" t="s">
        <v>396</v>
      </c>
      <c r="C403" s="74" t="s">
        <v>2</v>
      </c>
      <c r="D403" s="203">
        <f>D396</f>
        <v>482.2</v>
      </c>
      <c r="E403" s="44">
        <v>100</v>
      </c>
      <c r="F403" s="216">
        <f t="shared" si="18"/>
        <v>482</v>
      </c>
      <c r="G403" s="44"/>
      <c r="H403" s="46" t="s">
        <v>52</v>
      </c>
    </row>
    <row r="404" spans="1:8" s="47" customFormat="1" ht="15.75">
      <c r="A404" s="99"/>
      <c r="B404" s="125" t="s">
        <v>292</v>
      </c>
      <c r="C404" s="103" t="s">
        <v>2</v>
      </c>
      <c r="D404" s="209">
        <f>76028.6-59-37-46.2</f>
        <v>75886.40000000001</v>
      </c>
      <c r="E404" s="188">
        <v>50</v>
      </c>
      <c r="F404" s="214">
        <f t="shared" si="18"/>
        <v>37943</v>
      </c>
      <c r="G404" s="54"/>
      <c r="H404" s="46" t="s">
        <v>303</v>
      </c>
    </row>
    <row r="405" spans="1:8" s="47" customFormat="1" ht="15.75">
      <c r="A405" s="99"/>
      <c r="B405" s="125" t="s">
        <v>292</v>
      </c>
      <c r="C405" s="103" t="s">
        <v>2</v>
      </c>
      <c r="D405" s="209">
        <f>76028.6-59-37-46.2</f>
        <v>75886.40000000001</v>
      </c>
      <c r="E405" s="188">
        <v>20</v>
      </c>
      <c r="F405" s="214">
        <f t="shared" si="18"/>
        <v>15177</v>
      </c>
      <c r="G405" s="54"/>
      <c r="H405" s="46" t="s">
        <v>344</v>
      </c>
    </row>
    <row r="406" spans="1:8" s="47" customFormat="1" ht="16.5" thickBot="1">
      <c r="A406" s="265"/>
      <c r="B406" s="129" t="s">
        <v>157</v>
      </c>
      <c r="C406" s="74" t="s">
        <v>2</v>
      </c>
      <c r="D406" s="209">
        <f>76028.6-59-37-46.2</f>
        <v>75886.40000000001</v>
      </c>
      <c r="E406" s="188">
        <v>40</v>
      </c>
      <c r="F406" s="214">
        <f t="shared" si="18"/>
        <v>30355</v>
      </c>
      <c r="G406" s="44"/>
      <c r="H406" s="58" t="s">
        <v>144</v>
      </c>
    </row>
    <row r="407" spans="1:8" s="47" customFormat="1" ht="18" customHeight="1" thickBot="1">
      <c r="A407" s="160" t="s">
        <v>211</v>
      </c>
      <c r="B407" s="159" t="s">
        <v>341</v>
      </c>
      <c r="C407" s="161"/>
      <c r="D407" s="162"/>
      <c r="E407" s="163"/>
      <c r="F407" s="163"/>
      <c r="G407" s="163"/>
      <c r="H407" s="164"/>
    </row>
    <row r="408" spans="1:8" s="47" customFormat="1" ht="17.25" customHeight="1">
      <c r="A408" s="99"/>
      <c r="B408" s="122" t="s">
        <v>70</v>
      </c>
      <c r="C408" s="103" t="s">
        <v>2</v>
      </c>
      <c r="D408" s="207">
        <f>ROUND((D410+D424),0)</f>
        <v>31355</v>
      </c>
      <c r="E408" s="49">
        <v>80</v>
      </c>
      <c r="F408" s="208">
        <f>ROUND((D408*E408%),0)</f>
        <v>25084</v>
      </c>
      <c r="G408" s="59"/>
      <c r="H408" s="45" t="s">
        <v>129</v>
      </c>
    </row>
    <row r="409" spans="1:8" s="47" customFormat="1" ht="14.25" customHeight="1">
      <c r="A409" s="99"/>
      <c r="B409" s="122" t="s">
        <v>152</v>
      </c>
      <c r="C409" s="103" t="s">
        <v>302</v>
      </c>
      <c r="D409" s="144"/>
      <c r="E409" s="44"/>
      <c r="F409" s="49">
        <v>665.5</v>
      </c>
      <c r="G409" s="49"/>
      <c r="H409" s="45"/>
    </row>
    <row r="410" spans="1:8" s="47" customFormat="1" ht="29.25" customHeight="1">
      <c r="A410" s="99"/>
      <c r="B410" s="314" t="s">
        <v>85</v>
      </c>
      <c r="C410" s="103" t="s">
        <v>2</v>
      </c>
      <c r="D410" s="207">
        <f>D411+D412+D413</f>
        <v>13669.5</v>
      </c>
      <c r="E410" s="76"/>
      <c r="F410" s="217">
        <f>F411+F412+F413</f>
        <v>6875</v>
      </c>
      <c r="G410" s="64" t="s">
        <v>4</v>
      </c>
      <c r="H410" s="46" t="s">
        <v>42</v>
      </c>
    </row>
    <row r="411" spans="1:8" s="47" customFormat="1" ht="18" customHeight="1">
      <c r="A411" s="99"/>
      <c r="B411" s="122" t="s">
        <v>86</v>
      </c>
      <c r="C411" s="103" t="s">
        <v>2</v>
      </c>
      <c r="D411" s="207">
        <v>5305</v>
      </c>
      <c r="E411" s="44">
        <v>50</v>
      </c>
      <c r="F411" s="216">
        <f>ROUND((D411*E411%),0)</f>
        <v>2653</v>
      </c>
      <c r="G411" s="75"/>
      <c r="H411" s="46"/>
    </row>
    <row r="412" spans="1:9" s="47" customFormat="1" ht="15.75">
      <c r="A412" s="99"/>
      <c r="B412" s="124" t="s">
        <v>90</v>
      </c>
      <c r="C412" s="74" t="s">
        <v>2</v>
      </c>
      <c r="D412" s="203">
        <v>8286</v>
      </c>
      <c r="E412" s="44">
        <v>50</v>
      </c>
      <c r="F412" s="216">
        <f>ROUND((D412*E412%),0)</f>
        <v>4143</v>
      </c>
      <c r="G412" s="75"/>
      <c r="H412" s="46"/>
      <c r="I412" s="47" t="s">
        <v>95</v>
      </c>
    </row>
    <row r="413" spans="1:8" s="47" customFormat="1" ht="15.75">
      <c r="A413" s="99"/>
      <c r="B413" s="124" t="s">
        <v>217</v>
      </c>
      <c r="C413" s="74" t="s">
        <v>2</v>
      </c>
      <c r="D413" s="203">
        <v>78.5</v>
      </c>
      <c r="E413" s="44">
        <v>100</v>
      </c>
      <c r="F413" s="216">
        <f>ROUND((D413*E413%),0)</f>
        <v>79</v>
      </c>
      <c r="G413" s="75"/>
      <c r="H413" s="46"/>
    </row>
    <row r="414" spans="1:8" s="47" customFormat="1" ht="15.75">
      <c r="A414" s="99"/>
      <c r="B414" s="129" t="s">
        <v>305</v>
      </c>
      <c r="C414" s="74" t="s">
        <v>106</v>
      </c>
      <c r="D414" s="145" t="s">
        <v>118</v>
      </c>
      <c r="E414" s="44">
        <v>50</v>
      </c>
      <c r="F414" s="44">
        <f>3.7*50%</f>
        <v>1.85</v>
      </c>
      <c r="G414" s="44"/>
      <c r="H414" s="46" t="s">
        <v>52</v>
      </c>
    </row>
    <row r="415" spans="1:8" s="47" customFormat="1" ht="25.5" customHeight="1">
      <c r="A415" s="99"/>
      <c r="B415" s="122" t="s">
        <v>76</v>
      </c>
      <c r="C415" s="103" t="s">
        <v>73</v>
      </c>
      <c r="D415" s="144" t="s">
        <v>77</v>
      </c>
      <c r="E415" s="241">
        <v>100</v>
      </c>
      <c r="F415" s="254" t="str">
        <f>D415</f>
        <v>18/86,4</v>
      </c>
      <c r="G415" s="67"/>
      <c r="H415" s="467" t="s">
        <v>287</v>
      </c>
    </row>
    <row r="416" spans="1:8" s="47" customFormat="1" ht="22.5" customHeight="1">
      <c r="A416" s="99"/>
      <c r="B416" s="135" t="s">
        <v>166</v>
      </c>
      <c r="C416" s="74" t="s">
        <v>11</v>
      </c>
      <c r="D416" s="145">
        <v>10</v>
      </c>
      <c r="E416" s="241">
        <v>100</v>
      </c>
      <c r="F416" s="173">
        <v>10</v>
      </c>
      <c r="G416" s="44"/>
      <c r="H416" s="468"/>
    </row>
    <row r="417" spans="1:8" s="47" customFormat="1" ht="15.75">
      <c r="A417" s="99"/>
      <c r="B417" s="122" t="s">
        <v>150</v>
      </c>
      <c r="C417" s="103" t="s">
        <v>2</v>
      </c>
      <c r="D417" s="207">
        <v>8286</v>
      </c>
      <c r="E417" s="49">
        <v>30</v>
      </c>
      <c r="F417" s="216">
        <f aca="true" t="shared" si="19" ref="F417:F426">ROUND((D417*E417%),0)</f>
        <v>2486</v>
      </c>
      <c r="G417" s="53"/>
      <c r="H417" s="45" t="s">
        <v>51</v>
      </c>
    </row>
    <row r="418" spans="1:8" s="47" customFormat="1" ht="15.75">
      <c r="A418" s="99"/>
      <c r="B418" s="122" t="s">
        <v>216</v>
      </c>
      <c r="C418" s="74" t="s">
        <v>2</v>
      </c>
      <c r="D418" s="203">
        <v>78.5</v>
      </c>
      <c r="E418" s="44">
        <v>100</v>
      </c>
      <c r="F418" s="216">
        <f t="shared" si="19"/>
        <v>79</v>
      </c>
      <c r="G418" s="53"/>
      <c r="H418" s="58" t="s">
        <v>51</v>
      </c>
    </row>
    <row r="419" spans="1:8" s="47" customFormat="1" ht="15.75">
      <c r="A419" s="99"/>
      <c r="B419" s="124" t="s">
        <v>210</v>
      </c>
      <c r="C419" s="103" t="s">
        <v>2</v>
      </c>
      <c r="D419" s="207">
        <v>8286</v>
      </c>
      <c r="E419" s="49">
        <v>30</v>
      </c>
      <c r="F419" s="216">
        <f t="shared" si="19"/>
        <v>2486</v>
      </c>
      <c r="G419" s="53"/>
      <c r="H419" s="45" t="s">
        <v>51</v>
      </c>
    </row>
    <row r="420" spans="1:8" s="47" customFormat="1" ht="15.75">
      <c r="A420" s="170"/>
      <c r="B420" s="124" t="s">
        <v>151</v>
      </c>
      <c r="C420" s="74" t="s">
        <v>2</v>
      </c>
      <c r="D420" s="203">
        <v>8286</v>
      </c>
      <c r="E420" s="44">
        <v>30</v>
      </c>
      <c r="F420" s="216">
        <f t="shared" si="19"/>
        <v>2486</v>
      </c>
      <c r="G420" s="44"/>
      <c r="H420" s="58" t="s">
        <v>51</v>
      </c>
    </row>
    <row r="421" spans="1:8" s="47" customFormat="1" ht="15.75">
      <c r="A421" s="99"/>
      <c r="B421" s="122" t="s">
        <v>231</v>
      </c>
      <c r="C421" s="103" t="s">
        <v>2</v>
      </c>
      <c r="D421" s="207">
        <v>78.5</v>
      </c>
      <c r="E421" s="49">
        <v>100</v>
      </c>
      <c r="F421" s="208">
        <f t="shared" si="19"/>
        <v>79</v>
      </c>
      <c r="G421" s="49"/>
      <c r="H421" s="51" t="s">
        <v>51</v>
      </c>
    </row>
    <row r="422" spans="1:8" s="47" customFormat="1" ht="15.75">
      <c r="A422" s="99"/>
      <c r="B422" s="125" t="s">
        <v>292</v>
      </c>
      <c r="C422" s="103" t="s">
        <v>2</v>
      </c>
      <c r="D422" s="207">
        <v>17685</v>
      </c>
      <c r="E422" s="44">
        <v>40</v>
      </c>
      <c r="F422" s="216">
        <f t="shared" si="19"/>
        <v>7074</v>
      </c>
      <c r="G422" s="54"/>
      <c r="H422" s="46" t="s">
        <v>303</v>
      </c>
    </row>
    <row r="423" spans="1:8" s="47" customFormat="1" ht="15.75">
      <c r="A423" s="99"/>
      <c r="B423" s="125" t="s">
        <v>292</v>
      </c>
      <c r="C423" s="103" t="s">
        <v>2</v>
      </c>
      <c r="D423" s="207">
        <v>17685</v>
      </c>
      <c r="E423" s="44">
        <v>10</v>
      </c>
      <c r="F423" s="216">
        <f t="shared" si="19"/>
        <v>1769</v>
      </c>
      <c r="G423" s="54"/>
      <c r="H423" s="46" t="s">
        <v>288</v>
      </c>
    </row>
    <row r="424" spans="1:8" s="47" customFormat="1" ht="17.25" customHeight="1" thickBot="1">
      <c r="A424" s="100"/>
      <c r="B424" s="286" t="s">
        <v>157</v>
      </c>
      <c r="C424" s="102" t="s">
        <v>2</v>
      </c>
      <c r="D424" s="205">
        <v>17685</v>
      </c>
      <c r="E424" s="61">
        <v>80</v>
      </c>
      <c r="F424" s="255">
        <f t="shared" si="19"/>
        <v>14148</v>
      </c>
      <c r="G424" s="61"/>
      <c r="H424" s="73" t="s">
        <v>144</v>
      </c>
    </row>
    <row r="425" spans="1:8" s="47" customFormat="1" ht="20.25" customHeight="1" thickBot="1">
      <c r="A425" s="160" t="s">
        <v>97</v>
      </c>
      <c r="B425" s="159" t="s">
        <v>39</v>
      </c>
      <c r="C425" s="161"/>
      <c r="D425" s="162"/>
      <c r="E425" s="163"/>
      <c r="F425" s="163"/>
      <c r="G425" s="163"/>
      <c r="H425" s="164"/>
    </row>
    <row r="426" spans="1:8" s="47" customFormat="1" ht="18" customHeight="1">
      <c r="A426" s="99"/>
      <c r="B426" s="122" t="s">
        <v>70</v>
      </c>
      <c r="C426" s="64" t="s">
        <v>2</v>
      </c>
      <c r="D426" s="420">
        <f>D428+D440</f>
        <v>22496.22</v>
      </c>
      <c r="E426" s="315">
        <v>80</v>
      </c>
      <c r="F426" s="316">
        <f t="shared" si="19"/>
        <v>17997</v>
      </c>
      <c r="G426" s="59"/>
      <c r="H426" s="45" t="s">
        <v>129</v>
      </c>
    </row>
    <row r="427" spans="1:8" s="47" customFormat="1" ht="14.25" customHeight="1">
      <c r="A427" s="99"/>
      <c r="B427" s="122" t="s">
        <v>152</v>
      </c>
      <c r="C427" s="103" t="s">
        <v>1</v>
      </c>
      <c r="D427" s="207"/>
      <c r="E427" s="44"/>
      <c r="F427" s="49">
        <v>545</v>
      </c>
      <c r="G427" s="49"/>
      <c r="H427" s="45"/>
    </row>
    <row r="428" spans="1:8" s="47" customFormat="1" ht="30" customHeight="1">
      <c r="A428" s="101"/>
      <c r="B428" s="90" t="s">
        <v>87</v>
      </c>
      <c r="C428" s="74" t="s">
        <v>2</v>
      </c>
      <c r="D428" s="211">
        <f>D429+D430+D431</f>
        <v>8990.77</v>
      </c>
      <c r="E428" s="76"/>
      <c r="F428" s="218">
        <f>F429+F430+F431</f>
        <v>4856.33</v>
      </c>
      <c r="G428" s="64" t="s">
        <v>4</v>
      </c>
      <c r="H428" s="58" t="s">
        <v>42</v>
      </c>
    </row>
    <row r="429" spans="1:8" s="47" customFormat="1" ht="14.25" customHeight="1">
      <c r="A429" s="101"/>
      <c r="B429" s="129" t="s">
        <v>86</v>
      </c>
      <c r="C429" s="74" t="s">
        <v>2</v>
      </c>
      <c r="D429" s="203">
        <f>5404.3+65.1</f>
        <v>5469.400000000001</v>
      </c>
      <c r="E429" s="173">
        <v>50</v>
      </c>
      <c r="F429" s="218">
        <f>ROUND((D429*E429%),0)</f>
        <v>2735</v>
      </c>
      <c r="G429" s="317"/>
      <c r="H429" s="58"/>
    </row>
    <row r="430" spans="1:8" s="47" customFormat="1" ht="15.75">
      <c r="A430" s="101"/>
      <c r="B430" s="129" t="s">
        <v>88</v>
      </c>
      <c r="C430" s="74" t="s">
        <v>2</v>
      </c>
      <c r="D430" s="211">
        <f>1262.5+254.02+299.92+196.75+74.8+42.75+341+329.3</f>
        <v>2801.0400000000004</v>
      </c>
      <c r="E430" s="173">
        <v>50</v>
      </c>
      <c r="F430" s="218">
        <f>ROUND((D430*E430%),0)</f>
        <v>1401</v>
      </c>
      <c r="G430" s="317"/>
      <c r="H430" s="58"/>
    </row>
    <row r="431" spans="1:8" s="47" customFormat="1" ht="15.75">
      <c r="A431" s="101"/>
      <c r="B431" s="129" t="s">
        <v>89</v>
      </c>
      <c r="C431" s="74" t="s">
        <v>2</v>
      </c>
      <c r="D431" s="203">
        <f>624.1+76.03+20.2</f>
        <v>720.33</v>
      </c>
      <c r="E431" s="173">
        <v>100</v>
      </c>
      <c r="F431" s="218">
        <f>D431</f>
        <v>720.33</v>
      </c>
      <c r="G431" s="173"/>
      <c r="H431" s="58"/>
    </row>
    <row r="432" spans="1:8" s="47" customFormat="1" ht="15.75">
      <c r="A432" s="101"/>
      <c r="B432" s="129" t="s">
        <v>305</v>
      </c>
      <c r="C432" s="74" t="s">
        <v>106</v>
      </c>
      <c r="D432" s="145" t="s">
        <v>116</v>
      </c>
      <c r="E432" s="173">
        <v>50</v>
      </c>
      <c r="F432" s="173">
        <f>1.2*50%</f>
        <v>0.6</v>
      </c>
      <c r="G432" s="173"/>
      <c r="H432" s="58" t="s">
        <v>52</v>
      </c>
    </row>
    <row r="433" spans="1:8" s="47" customFormat="1" ht="24" customHeight="1">
      <c r="A433" s="99"/>
      <c r="B433" s="165" t="s">
        <v>76</v>
      </c>
      <c r="C433" s="103" t="s">
        <v>73</v>
      </c>
      <c r="D433" s="144" t="s">
        <v>75</v>
      </c>
      <c r="E433" s="241">
        <v>100</v>
      </c>
      <c r="F433" s="254" t="s">
        <v>75</v>
      </c>
      <c r="G433" s="172"/>
      <c r="H433" s="467" t="s">
        <v>287</v>
      </c>
    </row>
    <row r="434" spans="1:8" s="47" customFormat="1" ht="21.75" customHeight="1">
      <c r="A434" s="101"/>
      <c r="B434" s="129" t="s">
        <v>166</v>
      </c>
      <c r="C434" s="74" t="s">
        <v>11</v>
      </c>
      <c r="D434" s="145">
        <v>3</v>
      </c>
      <c r="E434" s="173">
        <v>100</v>
      </c>
      <c r="F434" s="173">
        <v>3</v>
      </c>
      <c r="G434" s="173"/>
      <c r="H434" s="468"/>
    </row>
    <row r="435" spans="1:8" s="47" customFormat="1" ht="15.75">
      <c r="A435" s="99"/>
      <c r="B435" s="122" t="s">
        <v>150</v>
      </c>
      <c r="C435" s="103" t="s">
        <v>2</v>
      </c>
      <c r="D435" s="144">
        <f>D430</f>
        <v>2801.0400000000004</v>
      </c>
      <c r="E435" s="49">
        <v>30</v>
      </c>
      <c r="F435" s="208">
        <f aca="true" t="shared" si="20" ref="F435:F444">ROUND((D435*E435%),0)</f>
        <v>840</v>
      </c>
      <c r="G435" s="53"/>
      <c r="H435" s="45" t="s">
        <v>51</v>
      </c>
    </row>
    <row r="436" spans="1:8" s="47" customFormat="1" ht="15.75">
      <c r="A436" s="99"/>
      <c r="B436" s="119" t="s">
        <v>218</v>
      </c>
      <c r="C436" s="103" t="s">
        <v>2</v>
      </c>
      <c r="D436" s="203">
        <f>D431</f>
        <v>720.33</v>
      </c>
      <c r="E436" s="44">
        <v>100</v>
      </c>
      <c r="F436" s="216">
        <f t="shared" si="20"/>
        <v>720</v>
      </c>
      <c r="G436" s="53"/>
      <c r="H436" s="46" t="s">
        <v>51</v>
      </c>
    </row>
    <row r="437" spans="1:8" s="47" customFormat="1" ht="15.75">
      <c r="A437" s="99"/>
      <c r="B437" s="124" t="s">
        <v>210</v>
      </c>
      <c r="C437" s="103" t="s">
        <v>2</v>
      </c>
      <c r="D437" s="207">
        <f>D435</f>
        <v>2801.0400000000004</v>
      </c>
      <c r="E437" s="49">
        <v>40</v>
      </c>
      <c r="F437" s="216">
        <f t="shared" si="20"/>
        <v>1120</v>
      </c>
      <c r="G437" s="53"/>
      <c r="H437" s="60" t="s">
        <v>51</v>
      </c>
    </row>
    <row r="438" spans="1:8" s="47" customFormat="1" ht="15.75">
      <c r="A438" s="99"/>
      <c r="B438" s="124" t="s">
        <v>395</v>
      </c>
      <c r="C438" s="74" t="s">
        <v>2</v>
      </c>
      <c r="D438" s="203">
        <f>D430</f>
        <v>2801.0400000000004</v>
      </c>
      <c r="E438" s="44">
        <v>30</v>
      </c>
      <c r="F438" s="216">
        <f t="shared" si="20"/>
        <v>840</v>
      </c>
      <c r="G438" s="44"/>
      <c r="H438" s="46" t="s">
        <v>51</v>
      </c>
    </row>
    <row r="439" spans="1:8" s="47" customFormat="1" ht="15.75">
      <c r="A439" s="99"/>
      <c r="B439" s="124" t="s">
        <v>396</v>
      </c>
      <c r="C439" s="74" t="s">
        <v>2</v>
      </c>
      <c r="D439" s="203">
        <f>D431</f>
        <v>720.33</v>
      </c>
      <c r="E439" s="44">
        <v>100</v>
      </c>
      <c r="F439" s="216">
        <f t="shared" si="20"/>
        <v>720</v>
      </c>
      <c r="G439" s="44"/>
      <c r="H439" s="46" t="s">
        <v>51</v>
      </c>
    </row>
    <row r="440" spans="1:8" s="47" customFormat="1" ht="15.75">
      <c r="A440" s="99"/>
      <c r="B440" s="125" t="s">
        <v>292</v>
      </c>
      <c r="C440" s="103" t="s">
        <v>2</v>
      </c>
      <c r="D440" s="207">
        <f>11309+530.25+1578.2+88</f>
        <v>13505.45</v>
      </c>
      <c r="E440" s="44">
        <v>60</v>
      </c>
      <c r="F440" s="216">
        <f t="shared" si="20"/>
        <v>8103</v>
      </c>
      <c r="G440" s="54"/>
      <c r="H440" s="46" t="s">
        <v>303</v>
      </c>
    </row>
    <row r="441" spans="1:8" s="47" customFormat="1" ht="15.75">
      <c r="A441" s="99"/>
      <c r="B441" s="125" t="s">
        <v>292</v>
      </c>
      <c r="C441" s="103" t="s">
        <v>2</v>
      </c>
      <c r="D441" s="207">
        <f>11309+530.25+1578.2+88</f>
        <v>13505.45</v>
      </c>
      <c r="E441" s="44">
        <v>10</v>
      </c>
      <c r="F441" s="216">
        <f t="shared" si="20"/>
        <v>1351</v>
      </c>
      <c r="G441" s="54"/>
      <c r="H441" s="46" t="s">
        <v>288</v>
      </c>
    </row>
    <row r="442" spans="1:8" s="47" customFormat="1" ht="16.5" customHeight="1" thickBot="1">
      <c r="A442" s="100"/>
      <c r="B442" s="286" t="s">
        <v>157</v>
      </c>
      <c r="C442" s="102" t="s">
        <v>2</v>
      </c>
      <c r="D442" s="207">
        <f>11309+530.25+1578.2+88</f>
        <v>13505.45</v>
      </c>
      <c r="E442" s="61">
        <v>90</v>
      </c>
      <c r="F442" s="255">
        <f t="shared" si="20"/>
        <v>12155</v>
      </c>
      <c r="G442" s="61"/>
      <c r="H442" s="73" t="s">
        <v>144</v>
      </c>
    </row>
    <row r="443" spans="1:8" s="47" customFormat="1" ht="17.25" customHeight="1" thickBot="1">
      <c r="A443" s="160" t="s">
        <v>239</v>
      </c>
      <c r="B443" s="159" t="s">
        <v>40</v>
      </c>
      <c r="C443" s="161"/>
      <c r="D443" s="162"/>
      <c r="E443" s="163"/>
      <c r="F443" s="163"/>
      <c r="G443" s="163"/>
      <c r="H443" s="164"/>
    </row>
    <row r="444" spans="1:8" s="47" customFormat="1" ht="15.75">
      <c r="A444" s="99"/>
      <c r="B444" s="119" t="s">
        <v>178</v>
      </c>
      <c r="C444" s="103" t="s">
        <v>2</v>
      </c>
      <c r="D444" s="207">
        <f>D446+D460+D449</f>
        <v>25483.4</v>
      </c>
      <c r="E444" s="241">
        <v>80</v>
      </c>
      <c r="F444" s="217">
        <f t="shared" si="20"/>
        <v>20387</v>
      </c>
      <c r="G444" s="312"/>
      <c r="H444" s="45" t="s">
        <v>129</v>
      </c>
    </row>
    <row r="445" spans="1:8" s="47" customFormat="1" ht="15.75" customHeight="1">
      <c r="A445" s="99"/>
      <c r="B445" s="124" t="s">
        <v>152</v>
      </c>
      <c r="C445" s="74" t="s">
        <v>1</v>
      </c>
      <c r="D445" s="207"/>
      <c r="E445" s="44"/>
      <c r="F445" s="49">
        <v>700</v>
      </c>
      <c r="G445" s="64"/>
      <c r="H445" s="60"/>
    </row>
    <row r="446" spans="1:8" s="47" customFormat="1" ht="16.5" customHeight="1">
      <c r="A446" s="101"/>
      <c r="B446" s="90" t="s">
        <v>83</v>
      </c>
      <c r="C446" s="74" t="s">
        <v>2</v>
      </c>
      <c r="D446" s="207">
        <f>D447+D448</f>
        <v>9066.6</v>
      </c>
      <c r="E446" s="44"/>
      <c r="F446" s="208">
        <f>F447+F448</f>
        <v>4553</v>
      </c>
      <c r="G446" s="64" t="s">
        <v>4</v>
      </c>
      <c r="H446" s="46" t="s">
        <v>42</v>
      </c>
    </row>
    <row r="447" spans="1:8" s="47" customFormat="1" ht="18.75" customHeight="1">
      <c r="A447" s="99"/>
      <c r="B447" s="88" t="s">
        <v>200</v>
      </c>
      <c r="C447" s="103" t="s">
        <v>2</v>
      </c>
      <c r="D447" s="207">
        <f>8802.6+225</f>
        <v>9027.6</v>
      </c>
      <c r="E447" s="49">
        <v>50</v>
      </c>
      <c r="F447" s="216">
        <f>ROUND((D447*E447%),0)</f>
        <v>4514</v>
      </c>
      <c r="G447" s="59"/>
      <c r="H447" s="45"/>
    </row>
    <row r="448" spans="1:8" s="47" customFormat="1" ht="15" customHeight="1">
      <c r="A448" s="99"/>
      <c r="B448" s="124" t="s">
        <v>91</v>
      </c>
      <c r="C448" s="74" t="s">
        <v>2</v>
      </c>
      <c r="D448" s="203">
        <v>39</v>
      </c>
      <c r="E448" s="44">
        <v>100</v>
      </c>
      <c r="F448" s="216">
        <v>39</v>
      </c>
      <c r="G448" s="44"/>
      <c r="H448" s="46"/>
    </row>
    <row r="449" spans="1:8" s="47" customFormat="1" ht="18.75" customHeight="1">
      <c r="A449" s="99"/>
      <c r="B449" s="124" t="s">
        <v>177</v>
      </c>
      <c r="C449" s="74" t="s">
        <v>2</v>
      </c>
      <c r="D449" s="203">
        <v>74.2</v>
      </c>
      <c r="E449" s="44">
        <v>70</v>
      </c>
      <c r="F449" s="216">
        <f>ROUND((D449*E449%),0)</f>
        <v>52</v>
      </c>
      <c r="G449" s="75"/>
      <c r="H449" s="46" t="s">
        <v>42</v>
      </c>
    </row>
    <row r="450" spans="1:8" s="47" customFormat="1" ht="18" customHeight="1">
      <c r="A450" s="99"/>
      <c r="B450" s="129" t="s">
        <v>305</v>
      </c>
      <c r="C450" s="74" t="s">
        <v>106</v>
      </c>
      <c r="D450" s="145" t="s">
        <v>117</v>
      </c>
      <c r="E450" s="173">
        <v>30</v>
      </c>
      <c r="F450" s="218">
        <f>4.91*30%</f>
        <v>1.473</v>
      </c>
      <c r="G450" s="44"/>
      <c r="H450" s="46" t="s">
        <v>52</v>
      </c>
    </row>
    <row r="451" spans="1:8" s="47" customFormat="1" ht="24" customHeight="1">
      <c r="A451" s="101"/>
      <c r="B451" s="129" t="s">
        <v>76</v>
      </c>
      <c r="C451" s="74" t="s">
        <v>73</v>
      </c>
      <c r="D451" s="145" t="s">
        <v>77</v>
      </c>
      <c r="E451" s="173">
        <v>100</v>
      </c>
      <c r="F451" s="174" t="str">
        <f>D451</f>
        <v>18/86,4</v>
      </c>
      <c r="G451" s="57"/>
      <c r="H451" s="467" t="s">
        <v>287</v>
      </c>
    </row>
    <row r="452" spans="1:8" s="47" customFormat="1" ht="22.5" customHeight="1">
      <c r="A452" s="101"/>
      <c r="B452" s="129" t="s">
        <v>175</v>
      </c>
      <c r="C452" s="74" t="s">
        <v>11</v>
      </c>
      <c r="D452" s="144">
        <f>7+4</f>
        <v>11</v>
      </c>
      <c r="E452" s="173">
        <v>100</v>
      </c>
      <c r="F452" s="241">
        <f>D452</f>
        <v>11</v>
      </c>
      <c r="G452" s="49"/>
      <c r="H452" s="468"/>
    </row>
    <row r="453" spans="1:8" s="47" customFormat="1" ht="15" customHeight="1">
      <c r="A453" s="101"/>
      <c r="B453" s="129" t="s">
        <v>150</v>
      </c>
      <c r="C453" s="74" t="s">
        <v>2</v>
      </c>
      <c r="D453" s="203">
        <f>D447</f>
        <v>9027.6</v>
      </c>
      <c r="E453" s="44">
        <v>30</v>
      </c>
      <c r="F453" s="216">
        <f aca="true" t="shared" si="21" ref="F453:F462">ROUND((D453*E453%),0)</f>
        <v>2708</v>
      </c>
      <c r="G453" s="54"/>
      <c r="H453" s="46" t="s">
        <v>51</v>
      </c>
    </row>
    <row r="454" spans="1:8" s="47" customFormat="1" ht="18" customHeight="1">
      <c r="A454" s="101"/>
      <c r="B454" s="129" t="s">
        <v>215</v>
      </c>
      <c r="C454" s="74" t="s">
        <v>2</v>
      </c>
      <c r="D454" s="203">
        <v>39</v>
      </c>
      <c r="E454" s="44">
        <v>100</v>
      </c>
      <c r="F454" s="216">
        <f t="shared" si="21"/>
        <v>39</v>
      </c>
      <c r="G454" s="44"/>
      <c r="H454" s="46" t="s">
        <v>51</v>
      </c>
    </row>
    <row r="455" spans="1:8" s="47" customFormat="1" ht="18" customHeight="1">
      <c r="A455" s="101"/>
      <c r="B455" s="129" t="s">
        <v>210</v>
      </c>
      <c r="C455" s="103" t="s">
        <v>2</v>
      </c>
      <c r="D455" s="207">
        <f>D453</f>
        <v>9027.6</v>
      </c>
      <c r="E455" s="44">
        <v>30</v>
      </c>
      <c r="F455" s="216">
        <f t="shared" si="21"/>
        <v>2708</v>
      </c>
      <c r="G455" s="53"/>
      <c r="H455" s="45" t="s">
        <v>51</v>
      </c>
    </row>
    <row r="456" spans="1:8" s="47" customFormat="1" ht="15.75">
      <c r="A456" s="101"/>
      <c r="B456" s="129" t="s">
        <v>395</v>
      </c>
      <c r="C456" s="74" t="s">
        <v>2</v>
      </c>
      <c r="D456" s="207">
        <f>D447</f>
        <v>9027.6</v>
      </c>
      <c r="E456" s="49">
        <v>30</v>
      </c>
      <c r="F456" s="216">
        <f t="shared" si="21"/>
        <v>2708</v>
      </c>
      <c r="G456" s="49"/>
      <c r="H456" s="46" t="s">
        <v>51</v>
      </c>
    </row>
    <row r="457" spans="1:8" s="47" customFormat="1" ht="15.75">
      <c r="A457" s="99"/>
      <c r="B457" s="124" t="s">
        <v>396</v>
      </c>
      <c r="C457" s="74" t="s">
        <v>2</v>
      </c>
      <c r="D457" s="203">
        <v>39</v>
      </c>
      <c r="E457" s="49">
        <v>100</v>
      </c>
      <c r="F457" s="216">
        <f t="shared" si="21"/>
        <v>39</v>
      </c>
      <c r="G457" s="44"/>
      <c r="H457" s="46" t="s">
        <v>51</v>
      </c>
    </row>
    <row r="458" spans="1:8" s="47" customFormat="1" ht="15.75">
      <c r="A458" s="99"/>
      <c r="B458" s="125" t="s">
        <v>292</v>
      </c>
      <c r="C458" s="74" t="s">
        <v>2</v>
      </c>
      <c r="D458" s="203">
        <f>13469+2873.6</f>
        <v>16342.6</v>
      </c>
      <c r="E458" s="44">
        <v>60</v>
      </c>
      <c r="F458" s="216">
        <f t="shared" si="21"/>
        <v>9806</v>
      </c>
      <c r="G458" s="54"/>
      <c r="H458" s="46" t="s">
        <v>303</v>
      </c>
    </row>
    <row r="459" spans="1:8" s="47" customFormat="1" ht="15.75">
      <c r="A459" s="99"/>
      <c r="B459" s="125" t="s">
        <v>292</v>
      </c>
      <c r="C459" s="74" t="s">
        <v>2</v>
      </c>
      <c r="D459" s="203">
        <f>13469+2873.6</f>
        <v>16342.6</v>
      </c>
      <c r="E459" s="44">
        <v>10</v>
      </c>
      <c r="F459" s="216">
        <f t="shared" si="21"/>
        <v>1634</v>
      </c>
      <c r="G459" s="54"/>
      <c r="H459" s="46" t="s">
        <v>344</v>
      </c>
    </row>
    <row r="460" spans="1:8" s="47" customFormat="1" ht="15.75" customHeight="1" thickBot="1">
      <c r="A460" s="100"/>
      <c r="B460" s="286" t="s">
        <v>157</v>
      </c>
      <c r="C460" s="102" t="s">
        <v>2</v>
      </c>
      <c r="D460" s="205">
        <f>D458</f>
        <v>16342.6</v>
      </c>
      <c r="E460" s="61">
        <v>80</v>
      </c>
      <c r="F460" s="255">
        <f t="shared" si="21"/>
        <v>13074</v>
      </c>
      <c r="G460" s="61"/>
      <c r="H460" s="73" t="s">
        <v>144</v>
      </c>
    </row>
    <row r="461" spans="1:8" s="47" customFormat="1" ht="18.75" customHeight="1" thickBot="1">
      <c r="A461" s="160" t="s">
        <v>99</v>
      </c>
      <c r="B461" s="251" t="s">
        <v>342</v>
      </c>
      <c r="C461" s="161"/>
      <c r="D461" s="162"/>
      <c r="E461" s="163"/>
      <c r="F461" s="163"/>
      <c r="G461" s="163"/>
      <c r="H461" s="164"/>
    </row>
    <row r="462" spans="1:8" s="47" customFormat="1" ht="17.25" customHeight="1">
      <c r="A462" s="99"/>
      <c r="B462" s="165" t="s">
        <v>71</v>
      </c>
      <c r="C462" s="103" t="s">
        <v>2</v>
      </c>
      <c r="D462" s="207">
        <f>D464+D478</f>
        <v>15339.1</v>
      </c>
      <c r="E462" s="49">
        <v>80</v>
      </c>
      <c r="F462" s="208">
        <f t="shared" si="21"/>
        <v>12271</v>
      </c>
      <c r="G462" s="59"/>
      <c r="H462" s="45" t="s">
        <v>129</v>
      </c>
    </row>
    <row r="463" spans="1:8" s="47" customFormat="1" ht="15.75">
      <c r="A463" s="99"/>
      <c r="B463" s="165" t="s">
        <v>152</v>
      </c>
      <c r="C463" s="103" t="s">
        <v>1</v>
      </c>
      <c r="D463" s="207"/>
      <c r="E463" s="49"/>
      <c r="F463" s="49">
        <v>509</v>
      </c>
      <c r="G463" s="64"/>
      <c r="H463" s="45"/>
    </row>
    <row r="464" spans="1:8" s="47" customFormat="1" ht="32.25" customHeight="1">
      <c r="A464" s="99"/>
      <c r="B464" s="85" t="s">
        <v>87</v>
      </c>
      <c r="C464" s="103" t="s">
        <v>2</v>
      </c>
      <c r="D464" s="207">
        <f>D465+D466+D467</f>
        <v>5163.6</v>
      </c>
      <c r="E464" s="76"/>
      <c r="F464" s="217">
        <f>F465+F466+F467</f>
        <v>3159</v>
      </c>
      <c r="G464" s="103" t="s">
        <v>4</v>
      </c>
      <c r="H464" s="46" t="s">
        <v>42</v>
      </c>
    </row>
    <row r="465" spans="1:8" s="47" customFormat="1" ht="15.75" customHeight="1">
      <c r="A465" s="99"/>
      <c r="B465" s="165" t="s">
        <v>86</v>
      </c>
      <c r="C465" s="103" t="s">
        <v>2</v>
      </c>
      <c r="D465" s="207">
        <v>1880</v>
      </c>
      <c r="E465" s="44">
        <v>40</v>
      </c>
      <c r="F465" s="216">
        <f>ROUND((D465*E465%),0)</f>
        <v>752</v>
      </c>
      <c r="G465" s="75"/>
      <c r="H465" s="46"/>
    </row>
    <row r="466" spans="1:8" s="47" customFormat="1" ht="14.25" customHeight="1">
      <c r="A466" s="99"/>
      <c r="B466" s="125" t="s">
        <v>88</v>
      </c>
      <c r="C466" s="74" t="s">
        <v>2</v>
      </c>
      <c r="D466" s="203">
        <v>2922.6</v>
      </c>
      <c r="E466" s="44">
        <v>70</v>
      </c>
      <c r="F466" s="216">
        <f>ROUND((D466*E466%),0)</f>
        <v>2046</v>
      </c>
      <c r="G466" s="75"/>
      <c r="H466" s="46"/>
    </row>
    <row r="467" spans="1:8" s="47" customFormat="1" ht="15" customHeight="1">
      <c r="A467" s="99"/>
      <c r="B467" s="291" t="s">
        <v>89</v>
      </c>
      <c r="C467" s="223" t="s">
        <v>2</v>
      </c>
      <c r="D467" s="224">
        <v>361</v>
      </c>
      <c r="E467" s="225">
        <v>100</v>
      </c>
      <c r="F467" s="250">
        <f>ROUND((D467*E467%),0)</f>
        <v>361</v>
      </c>
      <c r="G467" s="225"/>
      <c r="H467" s="238"/>
    </row>
    <row r="468" spans="1:8" s="47" customFormat="1" ht="16.5" customHeight="1">
      <c r="A468" s="101"/>
      <c r="B468" s="129" t="s">
        <v>305</v>
      </c>
      <c r="C468" s="74" t="s">
        <v>106</v>
      </c>
      <c r="D468" s="145" t="s">
        <v>115</v>
      </c>
      <c r="E468" s="44">
        <v>20</v>
      </c>
      <c r="F468" s="44">
        <v>0.8</v>
      </c>
      <c r="G468" s="44"/>
      <c r="H468" s="58" t="s">
        <v>52</v>
      </c>
    </row>
    <row r="469" spans="1:8" s="47" customFormat="1" ht="25.5" customHeight="1">
      <c r="A469" s="99"/>
      <c r="B469" s="165" t="s">
        <v>76</v>
      </c>
      <c r="C469" s="103" t="s">
        <v>73</v>
      </c>
      <c r="D469" s="367" t="s">
        <v>281</v>
      </c>
      <c r="E469" s="49">
        <v>100</v>
      </c>
      <c r="F469" s="318" t="str">
        <f>D469</f>
        <v>11/52,8</v>
      </c>
      <c r="G469" s="67"/>
      <c r="H469" s="469" t="s">
        <v>316</v>
      </c>
    </row>
    <row r="470" spans="1:8" s="47" customFormat="1" ht="21.75" customHeight="1">
      <c r="A470" s="101"/>
      <c r="B470" s="125" t="s">
        <v>166</v>
      </c>
      <c r="C470" s="74" t="s">
        <v>11</v>
      </c>
      <c r="D470" s="368">
        <v>11</v>
      </c>
      <c r="E470" s="44">
        <v>100</v>
      </c>
      <c r="F470" s="44">
        <v>11</v>
      </c>
      <c r="G470" s="44"/>
      <c r="H470" s="468"/>
    </row>
    <row r="471" spans="1:8" s="47" customFormat="1" ht="15.75">
      <c r="A471" s="99"/>
      <c r="B471" s="165" t="s">
        <v>150</v>
      </c>
      <c r="C471" s="103" t="s">
        <v>2</v>
      </c>
      <c r="D471" s="207">
        <v>2922.6</v>
      </c>
      <c r="E471" s="49">
        <v>30</v>
      </c>
      <c r="F471" s="216">
        <f aca="true" t="shared" si="22" ref="F471:F486">ROUND((D471*E471%),0)</f>
        <v>877</v>
      </c>
      <c r="G471" s="53"/>
      <c r="H471" s="45" t="s">
        <v>51</v>
      </c>
    </row>
    <row r="472" spans="1:8" s="47" customFormat="1" ht="15.75">
      <c r="A472" s="99"/>
      <c r="B472" s="125" t="s">
        <v>215</v>
      </c>
      <c r="C472" s="74" t="s">
        <v>2</v>
      </c>
      <c r="D472" s="203">
        <v>361</v>
      </c>
      <c r="E472" s="44">
        <v>100</v>
      </c>
      <c r="F472" s="216">
        <f t="shared" si="22"/>
        <v>361</v>
      </c>
      <c r="G472" s="54"/>
      <c r="H472" s="46" t="s">
        <v>51</v>
      </c>
    </row>
    <row r="473" spans="1:8" s="47" customFormat="1" ht="15.75">
      <c r="A473" s="99"/>
      <c r="B473" s="165" t="s">
        <v>210</v>
      </c>
      <c r="C473" s="103" t="s">
        <v>2</v>
      </c>
      <c r="D473" s="207">
        <v>2922.6</v>
      </c>
      <c r="E473" s="49">
        <v>30</v>
      </c>
      <c r="F473" s="216">
        <f t="shared" si="22"/>
        <v>877</v>
      </c>
      <c r="G473" s="53"/>
      <c r="H473" s="45" t="s">
        <v>51</v>
      </c>
    </row>
    <row r="474" spans="1:8" s="47" customFormat="1" ht="15.75">
      <c r="A474" s="99"/>
      <c r="B474" s="125" t="s">
        <v>151</v>
      </c>
      <c r="C474" s="74" t="s">
        <v>2</v>
      </c>
      <c r="D474" s="203">
        <v>2922.6</v>
      </c>
      <c r="E474" s="44">
        <v>30</v>
      </c>
      <c r="F474" s="216">
        <f t="shared" si="22"/>
        <v>877</v>
      </c>
      <c r="G474" s="44"/>
      <c r="H474" s="46" t="s">
        <v>52</v>
      </c>
    </row>
    <row r="475" spans="1:8" s="47" customFormat="1" ht="15.75">
      <c r="A475" s="99"/>
      <c r="B475" s="125" t="s">
        <v>231</v>
      </c>
      <c r="C475" s="74" t="s">
        <v>2</v>
      </c>
      <c r="D475" s="203">
        <v>361</v>
      </c>
      <c r="E475" s="44">
        <v>100</v>
      </c>
      <c r="F475" s="216">
        <f t="shared" si="22"/>
        <v>361</v>
      </c>
      <c r="G475" s="44"/>
      <c r="H475" s="46" t="s">
        <v>52</v>
      </c>
    </row>
    <row r="476" spans="1:8" s="47" customFormat="1" ht="15.75">
      <c r="A476" s="99"/>
      <c r="B476" s="125" t="s">
        <v>292</v>
      </c>
      <c r="C476" s="74" t="s">
        <v>2</v>
      </c>
      <c r="D476" s="203">
        <f>8890.6+1284.9</f>
        <v>10175.5</v>
      </c>
      <c r="E476" s="44">
        <v>60</v>
      </c>
      <c r="F476" s="216">
        <f t="shared" si="22"/>
        <v>6105</v>
      </c>
      <c r="G476" s="54"/>
      <c r="H476" s="46" t="s">
        <v>303</v>
      </c>
    </row>
    <row r="477" spans="1:8" s="47" customFormat="1" ht="15.75">
      <c r="A477" s="99"/>
      <c r="B477" s="125" t="s">
        <v>292</v>
      </c>
      <c r="C477" s="74" t="s">
        <v>2</v>
      </c>
      <c r="D477" s="203">
        <f>8890.6+1284.9</f>
        <v>10175.5</v>
      </c>
      <c r="E477" s="44">
        <v>10</v>
      </c>
      <c r="F477" s="216">
        <f t="shared" si="22"/>
        <v>1018</v>
      </c>
      <c r="G477" s="54"/>
      <c r="H477" s="46" t="s">
        <v>344</v>
      </c>
    </row>
    <row r="478" spans="1:8" s="47" customFormat="1" ht="16.5" customHeight="1" thickBot="1">
      <c r="A478" s="100"/>
      <c r="B478" s="136" t="s">
        <v>157</v>
      </c>
      <c r="C478" s="102" t="s">
        <v>2</v>
      </c>
      <c r="D478" s="205">
        <v>10175.5</v>
      </c>
      <c r="E478" s="61">
        <v>80</v>
      </c>
      <c r="F478" s="255">
        <f t="shared" si="22"/>
        <v>8140</v>
      </c>
      <c r="G478" s="61"/>
      <c r="H478" s="303" t="s">
        <v>144</v>
      </c>
    </row>
    <row r="479" spans="1:8" s="47" customFormat="1" ht="18" customHeight="1" thickBot="1">
      <c r="A479" s="160" t="s">
        <v>100</v>
      </c>
      <c r="B479" s="159" t="s">
        <v>347</v>
      </c>
      <c r="C479" s="161"/>
      <c r="D479" s="162"/>
      <c r="E479" s="163"/>
      <c r="F479" s="163"/>
      <c r="G479" s="163"/>
      <c r="H479" s="164"/>
    </row>
    <row r="480" spans="1:8" s="47" customFormat="1" ht="34.5" customHeight="1">
      <c r="A480" s="99"/>
      <c r="B480" s="171" t="s">
        <v>274</v>
      </c>
      <c r="C480" s="103" t="s">
        <v>2</v>
      </c>
      <c r="D480" s="207">
        <f>D492+D495+D483+D485+D486</f>
        <v>60722</v>
      </c>
      <c r="E480" s="241">
        <v>80</v>
      </c>
      <c r="F480" s="217">
        <f t="shared" si="22"/>
        <v>48578</v>
      </c>
      <c r="G480" s="312"/>
      <c r="H480" s="72" t="s">
        <v>313</v>
      </c>
    </row>
    <row r="481" spans="1:8" s="47" customFormat="1" ht="15.75" customHeight="1">
      <c r="A481" s="99"/>
      <c r="B481" s="88" t="s">
        <v>201</v>
      </c>
      <c r="C481" s="103" t="s">
        <v>2</v>
      </c>
      <c r="D481" s="207">
        <f>D482+D483</f>
        <v>7244.5</v>
      </c>
      <c r="E481" s="44"/>
      <c r="F481" s="208">
        <f>F482+F483</f>
        <v>5071</v>
      </c>
      <c r="G481" s="57" t="s">
        <v>194</v>
      </c>
      <c r="H481" s="467" t="s">
        <v>314</v>
      </c>
    </row>
    <row r="482" spans="1:8" s="47" customFormat="1" ht="13.5" customHeight="1">
      <c r="A482" s="99"/>
      <c r="B482" s="122" t="s">
        <v>202</v>
      </c>
      <c r="C482" s="103" t="s">
        <v>2</v>
      </c>
      <c r="D482" s="207">
        <v>4026</v>
      </c>
      <c r="E482" s="44">
        <v>70</v>
      </c>
      <c r="F482" s="216">
        <f t="shared" si="22"/>
        <v>2818</v>
      </c>
      <c r="G482" s="57"/>
      <c r="H482" s="474"/>
    </row>
    <row r="483" spans="1:8" s="47" customFormat="1" ht="14.25" customHeight="1">
      <c r="A483" s="99"/>
      <c r="B483" s="124" t="s">
        <v>203</v>
      </c>
      <c r="C483" s="74" t="s">
        <v>2</v>
      </c>
      <c r="D483" s="203">
        <v>3218.5</v>
      </c>
      <c r="E483" s="44">
        <v>70</v>
      </c>
      <c r="F483" s="216">
        <f t="shared" si="22"/>
        <v>2253</v>
      </c>
      <c r="G483" s="54"/>
      <c r="H483" s="487"/>
    </row>
    <row r="484" spans="1:8" s="47" customFormat="1" ht="17.25" customHeight="1">
      <c r="A484" s="101"/>
      <c r="B484" s="85" t="s">
        <v>131</v>
      </c>
      <c r="C484" s="103" t="s">
        <v>2</v>
      </c>
      <c r="D484" s="207">
        <f>D485+D486</f>
        <v>5815</v>
      </c>
      <c r="E484" s="76"/>
      <c r="F484" s="217">
        <f>F485+F486</f>
        <v>3094</v>
      </c>
      <c r="G484" s="57" t="s">
        <v>214</v>
      </c>
      <c r="H484" s="467" t="s">
        <v>315</v>
      </c>
    </row>
    <row r="485" spans="1:8" s="47" customFormat="1" ht="19.5" customHeight="1">
      <c r="A485" s="101"/>
      <c r="B485" s="86" t="s">
        <v>204</v>
      </c>
      <c r="C485" s="74" t="s">
        <v>2</v>
      </c>
      <c r="D485" s="203">
        <v>5443</v>
      </c>
      <c r="E485" s="44">
        <v>50</v>
      </c>
      <c r="F485" s="216">
        <f t="shared" si="22"/>
        <v>2722</v>
      </c>
      <c r="G485" s="57"/>
      <c r="H485" s="474"/>
    </row>
    <row r="486" spans="1:8" s="47" customFormat="1" ht="19.5" customHeight="1">
      <c r="A486" s="99"/>
      <c r="B486" s="89" t="s">
        <v>335</v>
      </c>
      <c r="C486" s="103" t="s">
        <v>2</v>
      </c>
      <c r="D486" s="207">
        <v>372</v>
      </c>
      <c r="E486" s="49">
        <v>100</v>
      </c>
      <c r="F486" s="208">
        <f t="shared" si="22"/>
        <v>372</v>
      </c>
      <c r="G486" s="49"/>
      <c r="H486" s="475"/>
    </row>
    <row r="487" spans="1:8" s="47" customFormat="1" ht="18" customHeight="1">
      <c r="A487" s="99"/>
      <c r="B487" s="122" t="s">
        <v>76</v>
      </c>
      <c r="C487" s="103" t="s">
        <v>73</v>
      </c>
      <c r="D487" s="144" t="s">
        <v>279</v>
      </c>
      <c r="E487" s="241">
        <v>100</v>
      </c>
      <c r="F487" s="254" t="str">
        <f>D487</f>
        <v>79/379,2</v>
      </c>
      <c r="G487" s="49"/>
      <c r="H487" s="467" t="s">
        <v>287</v>
      </c>
    </row>
    <row r="488" spans="1:8" s="47" customFormat="1" ht="29.25" customHeight="1">
      <c r="A488" s="99"/>
      <c r="B488" s="124" t="s">
        <v>166</v>
      </c>
      <c r="C488" s="74" t="s">
        <v>11</v>
      </c>
      <c r="D488" s="203">
        <v>28</v>
      </c>
      <c r="E488" s="173">
        <v>100</v>
      </c>
      <c r="F488" s="173">
        <f>D488</f>
        <v>28</v>
      </c>
      <c r="G488" s="44"/>
      <c r="H488" s="468"/>
    </row>
    <row r="489" spans="1:8" s="47" customFormat="1" ht="15.75">
      <c r="A489" s="99"/>
      <c r="B489" s="122" t="s">
        <v>54</v>
      </c>
      <c r="C489" s="103" t="s">
        <v>2</v>
      </c>
      <c r="D489" s="207">
        <v>4026</v>
      </c>
      <c r="E489" s="49">
        <v>30</v>
      </c>
      <c r="F489" s="216">
        <f aca="true" t="shared" si="23" ref="F489:F501">ROUND((D489*E489%),0)</f>
        <v>1208</v>
      </c>
      <c r="G489" s="53"/>
      <c r="H489" s="45" t="s">
        <v>51</v>
      </c>
    </row>
    <row r="490" spans="1:8" s="47" customFormat="1" ht="15.75">
      <c r="A490" s="99"/>
      <c r="B490" s="124" t="s">
        <v>233</v>
      </c>
      <c r="C490" s="74" t="s">
        <v>2</v>
      </c>
      <c r="D490" s="203">
        <v>5443</v>
      </c>
      <c r="E490" s="44">
        <v>30</v>
      </c>
      <c r="F490" s="216">
        <f t="shared" si="23"/>
        <v>1633</v>
      </c>
      <c r="G490" s="54"/>
      <c r="H490" s="46" t="s">
        <v>51</v>
      </c>
    </row>
    <row r="491" spans="1:8" s="47" customFormat="1" ht="15.75">
      <c r="A491" s="99"/>
      <c r="B491" s="124" t="s">
        <v>210</v>
      </c>
      <c r="C491" s="74" t="s">
        <v>2</v>
      </c>
      <c r="D491" s="203">
        <v>4026</v>
      </c>
      <c r="E491" s="49">
        <v>30</v>
      </c>
      <c r="F491" s="216">
        <f t="shared" si="23"/>
        <v>1208</v>
      </c>
      <c r="G491" s="54"/>
      <c r="H491" s="46" t="s">
        <v>51</v>
      </c>
    </row>
    <row r="492" spans="1:8" s="47" customFormat="1" ht="15.75">
      <c r="A492" s="99"/>
      <c r="B492" s="135" t="s">
        <v>395</v>
      </c>
      <c r="C492" s="74" t="s">
        <v>2</v>
      </c>
      <c r="D492" s="203">
        <v>4026</v>
      </c>
      <c r="E492" s="44">
        <v>30</v>
      </c>
      <c r="F492" s="216">
        <f t="shared" si="23"/>
        <v>1208</v>
      </c>
      <c r="G492" s="44"/>
      <c r="H492" s="46" t="s">
        <v>51</v>
      </c>
    </row>
    <row r="493" spans="1:8" s="47" customFormat="1" ht="15.75">
      <c r="A493" s="99"/>
      <c r="B493" s="122" t="s">
        <v>423</v>
      </c>
      <c r="C493" s="103" t="s">
        <v>2</v>
      </c>
      <c r="D493" s="207">
        <v>5443</v>
      </c>
      <c r="E493" s="49">
        <v>30</v>
      </c>
      <c r="F493" s="216">
        <f t="shared" si="23"/>
        <v>1633</v>
      </c>
      <c r="G493" s="49"/>
      <c r="H493" s="45" t="s">
        <v>52</v>
      </c>
    </row>
    <row r="494" spans="1:8" s="47" customFormat="1" ht="15.75">
      <c r="A494" s="99"/>
      <c r="B494" s="319" t="s">
        <v>424</v>
      </c>
      <c r="C494" s="74" t="s">
        <v>2</v>
      </c>
      <c r="D494" s="203">
        <f>D492+D493</f>
        <v>9469</v>
      </c>
      <c r="E494" s="44">
        <v>100</v>
      </c>
      <c r="F494" s="216">
        <f t="shared" si="23"/>
        <v>9469</v>
      </c>
      <c r="G494" s="44"/>
      <c r="H494" s="46" t="s">
        <v>52</v>
      </c>
    </row>
    <row r="495" spans="1:8" s="47" customFormat="1" ht="15" customHeight="1">
      <c r="A495" s="99"/>
      <c r="B495" s="125" t="s">
        <v>292</v>
      </c>
      <c r="C495" s="74" t="s">
        <v>2</v>
      </c>
      <c r="D495" s="203">
        <f>41590.5+6072</f>
        <v>47662.5</v>
      </c>
      <c r="E495" s="44">
        <v>50</v>
      </c>
      <c r="F495" s="216">
        <f t="shared" si="23"/>
        <v>23831</v>
      </c>
      <c r="G495" s="54"/>
      <c r="H495" s="46" t="s">
        <v>303</v>
      </c>
    </row>
    <row r="496" spans="1:8" s="47" customFormat="1" ht="15" customHeight="1">
      <c r="A496" s="99"/>
      <c r="B496" s="125" t="s">
        <v>292</v>
      </c>
      <c r="C496" s="74" t="s">
        <v>2</v>
      </c>
      <c r="D496" s="203">
        <f>41590.5+6072</f>
        <v>47662.5</v>
      </c>
      <c r="E496" s="44">
        <v>10</v>
      </c>
      <c r="F496" s="216">
        <f t="shared" si="23"/>
        <v>4766</v>
      </c>
      <c r="G496" s="54"/>
      <c r="H496" s="46" t="s">
        <v>344</v>
      </c>
    </row>
    <row r="497" spans="1:8" s="47" customFormat="1" ht="16.5" customHeight="1" thickBot="1">
      <c r="A497" s="100"/>
      <c r="B497" s="128" t="s">
        <v>157</v>
      </c>
      <c r="C497" s="143" t="s">
        <v>2</v>
      </c>
      <c r="D497" s="204">
        <f>D495</f>
        <v>47662.5</v>
      </c>
      <c r="E497" s="61">
        <v>75</v>
      </c>
      <c r="F497" s="255">
        <f t="shared" si="23"/>
        <v>35747</v>
      </c>
      <c r="G497" s="55"/>
      <c r="H497" s="73" t="s">
        <v>144</v>
      </c>
    </row>
    <row r="498" spans="1:8" s="47" customFormat="1" ht="18" customHeight="1" thickBot="1">
      <c r="A498" s="160" t="s">
        <v>240</v>
      </c>
      <c r="B498" s="159" t="s">
        <v>334</v>
      </c>
      <c r="C498" s="161"/>
      <c r="D498" s="162"/>
      <c r="E498" s="163"/>
      <c r="F498" s="163"/>
      <c r="G498" s="163"/>
      <c r="H498" s="164"/>
    </row>
    <row r="499" spans="1:8" s="47" customFormat="1" ht="32.25" customHeight="1">
      <c r="A499" s="99"/>
      <c r="B499" s="165" t="s">
        <v>182</v>
      </c>
      <c r="C499" s="103" t="s">
        <v>2</v>
      </c>
      <c r="D499" s="207">
        <f>9487+6131.9</f>
        <v>15618.9</v>
      </c>
      <c r="E499" s="241">
        <v>70</v>
      </c>
      <c r="F499" s="217">
        <f t="shared" si="23"/>
        <v>10933</v>
      </c>
      <c r="G499" s="59"/>
      <c r="H499" s="51" t="s">
        <v>229</v>
      </c>
    </row>
    <row r="500" spans="1:8" s="47" customFormat="1" ht="19.5" customHeight="1">
      <c r="A500" s="99"/>
      <c r="B500" s="125" t="s">
        <v>181</v>
      </c>
      <c r="C500" s="103" t="s">
        <v>2</v>
      </c>
      <c r="D500" s="207">
        <v>442</v>
      </c>
      <c r="E500" s="173">
        <v>70</v>
      </c>
      <c r="F500" s="218">
        <f t="shared" si="23"/>
        <v>309</v>
      </c>
      <c r="G500" s="74" t="s">
        <v>4</v>
      </c>
      <c r="H500" s="58" t="s">
        <v>228</v>
      </c>
    </row>
    <row r="501" spans="1:8" s="47" customFormat="1" ht="33.75" customHeight="1">
      <c r="A501" s="101"/>
      <c r="B501" s="125" t="s">
        <v>232</v>
      </c>
      <c r="C501" s="74" t="s">
        <v>2</v>
      </c>
      <c r="D501" s="207">
        <v>442</v>
      </c>
      <c r="E501" s="173">
        <v>50</v>
      </c>
      <c r="F501" s="218">
        <f t="shared" si="23"/>
        <v>221</v>
      </c>
      <c r="G501" s="54"/>
      <c r="H501" s="46" t="s">
        <v>317</v>
      </c>
    </row>
    <row r="502" spans="1:8" s="47" customFormat="1" ht="15.75">
      <c r="A502" s="101"/>
      <c r="B502" s="125" t="s">
        <v>166</v>
      </c>
      <c r="C502" s="74" t="s">
        <v>11</v>
      </c>
      <c r="D502" s="203">
        <v>17</v>
      </c>
      <c r="E502" s="44">
        <v>100</v>
      </c>
      <c r="F502" s="44">
        <v>17</v>
      </c>
      <c r="G502" s="44"/>
      <c r="H502" s="467" t="s">
        <v>229</v>
      </c>
    </row>
    <row r="503" spans="1:8" s="47" customFormat="1" ht="15.75">
      <c r="A503" s="101"/>
      <c r="B503" s="125" t="s">
        <v>76</v>
      </c>
      <c r="C503" s="74" t="s">
        <v>73</v>
      </c>
      <c r="D503" s="203" t="s">
        <v>221</v>
      </c>
      <c r="E503" s="44">
        <v>100</v>
      </c>
      <c r="F503" s="284" t="s">
        <v>221</v>
      </c>
      <c r="G503" s="57"/>
      <c r="H503" s="469"/>
    </row>
    <row r="504" spans="1:8" s="47" customFormat="1" ht="15.75">
      <c r="A504" s="99"/>
      <c r="B504" s="125" t="s">
        <v>180</v>
      </c>
      <c r="C504" s="74" t="s">
        <v>11</v>
      </c>
      <c r="D504" s="203">
        <v>1</v>
      </c>
      <c r="E504" s="44">
        <v>100</v>
      </c>
      <c r="F504" s="44">
        <v>1</v>
      </c>
      <c r="G504" s="44"/>
      <c r="H504" s="475"/>
    </row>
    <row r="505" spans="1:8" s="47" customFormat="1" ht="15.75">
      <c r="A505" s="99"/>
      <c r="B505" s="125" t="s">
        <v>292</v>
      </c>
      <c r="C505" s="74" t="s">
        <v>2</v>
      </c>
      <c r="D505" s="203">
        <v>9487</v>
      </c>
      <c r="E505" s="44">
        <v>50</v>
      </c>
      <c r="F505" s="216">
        <f>ROUND((D505*E505%),0)</f>
        <v>4744</v>
      </c>
      <c r="G505" s="54"/>
      <c r="H505" s="46" t="s">
        <v>303</v>
      </c>
    </row>
    <row r="506" spans="1:8" s="47" customFormat="1" ht="15.75">
      <c r="A506" s="99"/>
      <c r="B506" s="125" t="s">
        <v>292</v>
      </c>
      <c r="C506" s="74" t="s">
        <v>2</v>
      </c>
      <c r="D506" s="203">
        <v>9487</v>
      </c>
      <c r="E506" s="44">
        <v>10</v>
      </c>
      <c r="F506" s="216">
        <f>ROUND((D506*E506%),0)</f>
        <v>949</v>
      </c>
      <c r="G506" s="54"/>
      <c r="H506" s="46" t="s">
        <v>344</v>
      </c>
    </row>
    <row r="507" spans="1:8" s="47" customFormat="1" ht="20.25" customHeight="1" thickBot="1">
      <c r="A507" s="100"/>
      <c r="B507" s="136" t="s">
        <v>157</v>
      </c>
      <c r="C507" s="102" t="s">
        <v>2</v>
      </c>
      <c r="D507" s="205">
        <v>9487</v>
      </c>
      <c r="E507" s="61">
        <v>80</v>
      </c>
      <c r="F507" s="255">
        <f>ROUND((D507*E507%),0)</f>
        <v>7590</v>
      </c>
      <c r="G507" s="61"/>
      <c r="H507" s="303" t="s">
        <v>144</v>
      </c>
    </row>
    <row r="508" spans="1:8" s="47" customFormat="1" ht="17.25" customHeight="1" thickBot="1">
      <c r="A508" s="104" t="s">
        <v>241</v>
      </c>
      <c r="B508" s="230" t="s">
        <v>407</v>
      </c>
      <c r="C508" s="231"/>
      <c r="D508" s="232"/>
      <c r="E508" s="233"/>
      <c r="F508" s="233"/>
      <c r="G508" s="233"/>
      <c r="H508" s="229"/>
    </row>
    <row r="509" spans="1:8" s="47" customFormat="1" ht="18.75" customHeight="1">
      <c r="A509" s="105"/>
      <c r="B509" s="234" t="s">
        <v>336</v>
      </c>
      <c r="C509" s="106" t="s">
        <v>2</v>
      </c>
      <c r="D509" s="395">
        <f>33070+522.5</f>
        <v>33592.5</v>
      </c>
      <c r="E509" s="277">
        <v>80</v>
      </c>
      <c r="F509" s="278">
        <f>ROUND((D509*E509%),0)</f>
        <v>26874</v>
      </c>
      <c r="G509" s="235"/>
      <c r="H509" s="490" t="s">
        <v>226</v>
      </c>
    </row>
    <row r="510" spans="1:8" s="47" customFormat="1" ht="15" customHeight="1">
      <c r="A510" s="101"/>
      <c r="B510" s="129" t="s">
        <v>152</v>
      </c>
      <c r="C510" s="74" t="s">
        <v>1</v>
      </c>
      <c r="D510" s="145">
        <v>237</v>
      </c>
      <c r="E510" s="44"/>
      <c r="F510" s="44"/>
      <c r="G510" s="219"/>
      <c r="H510" s="474"/>
    </row>
    <row r="511" spans="1:8" s="47" customFormat="1" ht="15.75">
      <c r="A511" s="101"/>
      <c r="B511" s="90" t="s">
        <v>82</v>
      </c>
      <c r="C511" s="74" t="s">
        <v>2</v>
      </c>
      <c r="D511" s="211">
        <f>D512+D513+D514</f>
        <v>9959.5</v>
      </c>
      <c r="E511" s="76"/>
      <c r="F511" s="218">
        <v>5248.6</v>
      </c>
      <c r="G511" s="226" t="s">
        <v>4</v>
      </c>
      <c r="H511" s="474"/>
    </row>
    <row r="512" spans="1:8" s="47" customFormat="1" ht="18.75" customHeight="1">
      <c r="A512" s="101"/>
      <c r="B512" s="222" t="s">
        <v>81</v>
      </c>
      <c r="C512" s="223" t="s">
        <v>2</v>
      </c>
      <c r="D512" s="224">
        <v>1234</v>
      </c>
      <c r="E512" s="225">
        <v>40</v>
      </c>
      <c r="F512" s="250">
        <f>ROUND((D512*E512%),0)</f>
        <v>494</v>
      </c>
      <c r="G512" s="227"/>
      <c r="H512" s="474"/>
    </row>
    <row r="513" spans="1:8" s="47" customFormat="1" ht="13.5" customHeight="1">
      <c r="A513" s="101"/>
      <c r="B513" s="129" t="s">
        <v>227</v>
      </c>
      <c r="C513" s="74" t="s">
        <v>2</v>
      </c>
      <c r="D513" s="203">
        <v>1669</v>
      </c>
      <c r="E513" s="44">
        <v>50</v>
      </c>
      <c r="F513" s="216">
        <f>ROUND((D513*E513%),0)</f>
        <v>835</v>
      </c>
      <c r="G513" s="219"/>
      <c r="H513" s="51"/>
    </row>
    <row r="514" spans="1:8" s="47" customFormat="1" ht="15" customHeight="1">
      <c r="A514" s="101"/>
      <c r="B514" s="133" t="s">
        <v>380</v>
      </c>
      <c r="C514" s="103" t="s">
        <v>2</v>
      </c>
      <c r="D514" s="209">
        <f>6534+522.5</f>
        <v>7056.5</v>
      </c>
      <c r="E514" s="49">
        <v>30</v>
      </c>
      <c r="F514" s="208">
        <f>ROUND((D514*E514%),0)</f>
        <v>2117</v>
      </c>
      <c r="G514" s="228"/>
      <c r="H514" s="51"/>
    </row>
    <row r="515" spans="1:8" s="47" customFormat="1" ht="15.75">
      <c r="A515" s="101"/>
      <c r="B515" s="129" t="s">
        <v>183</v>
      </c>
      <c r="C515" s="74" t="s">
        <v>2</v>
      </c>
      <c r="D515" s="203">
        <v>810</v>
      </c>
      <c r="E515" s="44"/>
      <c r="F515" s="44"/>
      <c r="G515" s="70" t="s">
        <v>5</v>
      </c>
      <c r="H515" s="51"/>
    </row>
    <row r="516" spans="1:8" s="47" customFormat="1" ht="22.5" customHeight="1">
      <c r="A516" s="101"/>
      <c r="B516" s="129" t="s">
        <v>76</v>
      </c>
      <c r="C516" s="74" t="s">
        <v>73</v>
      </c>
      <c r="D516" s="267" t="s">
        <v>408</v>
      </c>
      <c r="E516" s="173">
        <v>100</v>
      </c>
      <c r="F516" s="174" t="s">
        <v>408</v>
      </c>
      <c r="G516" s="70"/>
      <c r="H516" s="467" t="s">
        <v>338</v>
      </c>
    </row>
    <row r="517" spans="1:8" s="47" customFormat="1" ht="26.25" customHeight="1">
      <c r="A517" s="101"/>
      <c r="B517" s="129" t="s">
        <v>166</v>
      </c>
      <c r="C517" s="74" t="s">
        <v>11</v>
      </c>
      <c r="D517" s="145">
        <v>14</v>
      </c>
      <c r="E517" s="173">
        <v>100</v>
      </c>
      <c r="F517" s="173">
        <v>14</v>
      </c>
      <c r="G517" s="173"/>
      <c r="H517" s="468"/>
    </row>
    <row r="518" spans="1:8" s="47" customFormat="1" ht="15.75">
      <c r="A518" s="101"/>
      <c r="B518" s="129" t="s">
        <v>180</v>
      </c>
      <c r="C518" s="74" t="s">
        <v>11</v>
      </c>
      <c r="D518" s="145">
        <v>1</v>
      </c>
      <c r="E518" s="44">
        <v>100</v>
      </c>
      <c r="F518" s="44">
        <v>1</v>
      </c>
      <c r="G518" s="44"/>
      <c r="H518" s="58" t="s">
        <v>42</v>
      </c>
    </row>
    <row r="519" spans="1:8" s="47" customFormat="1" ht="15.75">
      <c r="A519" s="101"/>
      <c r="B519" s="357" t="s">
        <v>150</v>
      </c>
      <c r="C519" s="187" t="s">
        <v>2</v>
      </c>
      <c r="D519" s="211">
        <v>522.5</v>
      </c>
      <c r="E519" s="188">
        <v>50</v>
      </c>
      <c r="F519" s="423">
        <f>ROUND((D519*E519%),0)</f>
        <v>261</v>
      </c>
      <c r="G519" s="188"/>
      <c r="H519" s="58" t="s">
        <v>51</v>
      </c>
    </row>
    <row r="520" spans="1:8" s="47" customFormat="1" ht="15.75">
      <c r="A520" s="101"/>
      <c r="B520" s="129" t="s">
        <v>206</v>
      </c>
      <c r="C520" s="74" t="s">
        <v>2</v>
      </c>
      <c r="D520" s="203">
        <v>22823</v>
      </c>
      <c r="E520" s="44">
        <v>70</v>
      </c>
      <c r="F520" s="216">
        <f>ROUND((D520*E520%),0)</f>
        <v>15976</v>
      </c>
      <c r="G520" s="44"/>
      <c r="H520" s="58" t="s">
        <v>144</v>
      </c>
    </row>
    <row r="521" spans="1:8" s="47" customFormat="1" ht="12.75" customHeight="1">
      <c r="A521" s="101"/>
      <c r="B521" s="129" t="s">
        <v>207</v>
      </c>
      <c r="C521" s="74" t="s">
        <v>2</v>
      </c>
      <c r="D521" s="203">
        <v>19358</v>
      </c>
      <c r="E521" s="44"/>
      <c r="F521" s="44"/>
      <c r="G521" s="44"/>
      <c r="H521" s="58"/>
    </row>
    <row r="522" spans="1:8" s="47" customFormat="1" ht="13.5" customHeight="1" thickBot="1">
      <c r="A522" s="99"/>
      <c r="B522" s="134" t="s">
        <v>208</v>
      </c>
      <c r="C522" s="223" t="s">
        <v>2</v>
      </c>
      <c r="D522" s="224">
        <v>3465</v>
      </c>
      <c r="E522" s="225"/>
      <c r="F522" s="225"/>
      <c r="G522" s="225"/>
      <c r="H522" s="236"/>
    </row>
    <row r="523" spans="1:8" s="47" customFormat="1" ht="17.25" customHeight="1" thickBot="1">
      <c r="A523" s="268" t="s">
        <v>242</v>
      </c>
      <c r="B523" s="292" t="s">
        <v>135</v>
      </c>
      <c r="C523" s="161"/>
      <c r="D523" s="162"/>
      <c r="E523" s="163"/>
      <c r="F523" s="163"/>
      <c r="G523" s="163"/>
      <c r="H523" s="164"/>
    </row>
    <row r="524" spans="1:8" s="47" customFormat="1" ht="14.25" customHeight="1">
      <c r="A524" s="101"/>
      <c r="B524" s="133" t="s">
        <v>213</v>
      </c>
      <c r="C524" s="103" t="s">
        <v>2</v>
      </c>
      <c r="D524" s="207">
        <v>12600</v>
      </c>
      <c r="E524" s="49">
        <v>80</v>
      </c>
      <c r="F524" s="208">
        <f aca="true" t="shared" si="24" ref="F524:F530">ROUND((D524*E524%),0)</f>
        <v>10080</v>
      </c>
      <c r="G524" s="49"/>
      <c r="H524" s="45" t="s">
        <v>101</v>
      </c>
    </row>
    <row r="525" spans="1:9" s="47" customFormat="1" ht="15.75" customHeight="1" thickBot="1">
      <c r="A525" s="262"/>
      <c r="B525" s="130" t="s">
        <v>157</v>
      </c>
      <c r="C525" s="143" t="s">
        <v>2</v>
      </c>
      <c r="D525" s="204">
        <v>12600</v>
      </c>
      <c r="E525" s="55">
        <v>80</v>
      </c>
      <c r="F525" s="255">
        <f t="shared" si="24"/>
        <v>10080</v>
      </c>
      <c r="G525" s="55"/>
      <c r="H525" s="73" t="s">
        <v>148</v>
      </c>
      <c r="I525" s="321"/>
    </row>
    <row r="526" spans="1:8" s="47" customFormat="1" ht="16.5" thickBot="1">
      <c r="A526" s="160" t="s">
        <v>243</v>
      </c>
      <c r="B526" s="251" t="s">
        <v>35</v>
      </c>
      <c r="C526" s="161"/>
      <c r="D526" s="304"/>
      <c r="E526" s="163"/>
      <c r="F526" s="163"/>
      <c r="G526" s="163"/>
      <c r="H526" s="164"/>
    </row>
    <row r="527" spans="1:8" s="47" customFormat="1" ht="15.75" customHeight="1" thickBot="1">
      <c r="A527" s="100"/>
      <c r="B527" s="275" t="s">
        <v>157</v>
      </c>
      <c r="C527" s="143" t="s">
        <v>2</v>
      </c>
      <c r="D527" s="204">
        <v>89899.7</v>
      </c>
      <c r="E527" s="55">
        <v>90</v>
      </c>
      <c r="F527" s="208">
        <f t="shared" si="24"/>
        <v>80910</v>
      </c>
      <c r="G527" s="55"/>
      <c r="H527" s="73" t="s">
        <v>136</v>
      </c>
    </row>
    <row r="528" spans="1:8" s="47" customFormat="1" ht="16.5" thickBot="1">
      <c r="A528" s="160" t="s">
        <v>244</v>
      </c>
      <c r="B528" s="251" t="s">
        <v>212</v>
      </c>
      <c r="C528" s="161"/>
      <c r="D528" s="304"/>
      <c r="E528" s="163"/>
      <c r="F528" s="163"/>
      <c r="G528" s="163"/>
      <c r="H528" s="164"/>
    </row>
    <row r="529" spans="1:8" s="47" customFormat="1" ht="15.75">
      <c r="A529" s="99"/>
      <c r="B529" s="165" t="s">
        <v>213</v>
      </c>
      <c r="C529" s="103" t="s">
        <v>2</v>
      </c>
      <c r="D529" s="207">
        <v>36800</v>
      </c>
      <c r="E529" s="49">
        <v>60</v>
      </c>
      <c r="F529" s="208">
        <f t="shared" si="24"/>
        <v>22080</v>
      </c>
      <c r="G529" s="59"/>
      <c r="H529" s="51" t="s">
        <v>280</v>
      </c>
    </row>
    <row r="530" spans="1:8" s="47" customFormat="1" ht="16.5" thickBot="1">
      <c r="A530" s="99"/>
      <c r="B530" s="126" t="s">
        <v>157</v>
      </c>
      <c r="C530" s="223" t="s">
        <v>2</v>
      </c>
      <c r="D530" s="261">
        <v>36800</v>
      </c>
      <c r="E530" s="246">
        <v>90</v>
      </c>
      <c r="F530" s="250">
        <f t="shared" si="24"/>
        <v>33120</v>
      </c>
      <c r="G530" s="246"/>
      <c r="H530" s="60" t="s">
        <v>136</v>
      </c>
    </row>
    <row r="531" spans="1:8" s="47" customFormat="1" ht="15.75">
      <c r="A531" s="105" t="s">
        <v>245</v>
      </c>
      <c r="B531" s="320" t="s">
        <v>318</v>
      </c>
      <c r="C531" s="106"/>
      <c r="D531" s="287"/>
      <c r="E531" s="256"/>
      <c r="F531" s="257"/>
      <c r="G531" s="256"/>
      <c r="H531" s="71"/>
    </row>
    <row r="532" spans="1:8" s="47" customFormat="1" ht="16.5" thickBot="1">
      <c r="A532" s="262"/>
      <c r="B532" s="440" t="s">
        <v>319</v>
      </c>
      <c r="C532" s="143"/>
      <c r="D532" s="276"/>
      <c r="E532" s="55"/>
      <c r="F532" s="439"/>
      <c r="G532" s="55"/>
      <c r="H532" s="73"/>
    </row>
    <row r="533" spans="1:8" s="47" customFormat="1" ht="15.75">
      <c r="A533" s="99"/>
      <c r="B533" s="165" t="s">
        <v>213</v>
      </c>
      <c r="C533" s="103" t="s">
        <v>2</v>
      </c>
      <c r="D533" s="207">
        <v>25200</v>
      </c>
      <c r="E533" s="49">
        <v>60</v>
      </c>
      <c r="F533" s="208">
        <f aca="true" t="shared" si="25" ref="F533:F541">ROUND((D533*E533%),0)</f>
        <v>15120</v>
      </c>
      <c r="G533" s="59"/>
      <c r="H533" s="45" t="s">
        <v>48</v>
      </c>
    </row>
    <row r="534" spans="1:8" s="47" customFormat="1" ht="16.5" customHeight="1" thickBot="1">
      <c r="A534" s="100"/>
      <c r="B534" s="136" t="s">
        <v>157</v>
      </c>
      <c r="C534" s="102" t="s">
        <v>2</v>
      </c>
      <c r="D534" s="204">
        <v>25200</v>
      </c>
      <c r="E534" s="55">
        <v>100</v>
      </c>
      <c r="F534" s="216">
        <f t="shared" si="25"/>
        <v>25200</v>
      </c>
      <c r="G534" s="55"/>
      <c r="H534" s="73" t="s">
        <v>98</v>
      </c>
    </row>
    <row r="535" spans="1:8" s="47" customFormat="1" ht="18.75" customHeight="1" thickBot="1">
      <c r="A535" s="160" t="s">
        <v>246</v>
      </c>
      <c r="B535" s="251" t="s">
        <v>320</v>
      </c>
      <c r="C535" s="161"/>
      <c r="D535" s="162"/>
      <c r="E535" s="163"/>
      <c r="F535" s="441"/>
      <c r="G535" s="163"/>
      <c r="H535" s="164"/>
    </row>
    <row r="536" spans="1:8" s="47" customFormat="1" ht="15" customHeight="1">
      <c r="A536" s="99"/>
      <c r="B536" s="165" t="s">
        <v>220</v>
      </c>
      <c r="C536" s="103" t="s">
        <v>2</v>
      </c>
      <c r="D536" s="207">
        <v>86.4</v>
      </c>
      <c r="E536" s="49">
        <v>70</v>
      </c>
      <c r="F536" s="208">
        <f t="shared" si="25"/>
        <v>60</v>
      </c>
      <c r="G536" s="59"/>
      <c r="H536" s="45" t="s">
        <v>101</v>
      </c>
    </row>
    <row r="537" spans="1:8" s="47" customFormat="1" ht="15" customHeight="1">
      <c r="A537" s="99"/>
      <c r="B537" s="125" t="s">
        <v>102</v>
      </c>
      <c r="C537" s="74" t="s">
        <v>2</v>
      </c>
      <c r="D537" s="203">
        <v>450</v>
      </c>
      <c r="E537" s="44">
        <v>70</v>
      </c>
      <c r="F537" s="216">
        <f t="shared" si="25"/>
        <v>315</v>
      </c>
      <c r="G537" s="75"/>
      <c r="H537" s="46" t="s">
        <v>101</v>
      </c>
    </row>
    <row r="538" spans="1:8" s="47" customFormat="1" ht="15" customHeight="1" thickBot="1">
      <c r="A538" s="100"/>
      <c r="B538" s="136" t="s">
        <v>157</v>
      </c>
      <c r="C538" s="102" t="s">
        <v>2</v>
      </c>
      <c r="D538" s="204">
        <v>450</v>
      </c>
      <c r="E538" s="55">
        <v>100</v>
      </c>
      <c r="F538" s="255">
        <f t="shared" si="25"/>
        <v>450</v>
      </c>
      <c r="G538" s="55"/>
      <c r="H538" s="73" t="s">
        <v>98</v>
      </c>
    </row>
    <row r="539" spans="1:8" s="47" customFormat="1" ht="18" customHeight="1" thickBot="1">
      <c r="A539" s="160" t="s">
        <v>247</v>
      </c>
      <c r="B539" s="251" t="s">
        <v>321</v>
      </c>
      <c r="C539" s="161"/>
      <c r="D539" s="162"/>
      <c r="E539" s="163"/>
      <c r="F539" s="163"/>
      <c r="G539" s="163"/>
      <c r="H539" s="443"/>
    </row>
    <row r="540" spans="1:8" s="47" customFormat="1" ht="16.5" customHeight="1">
      <c r="A540" s="99"/>
      <c r="B540" s="165" t="s">
        <v>213</v>
      </c>
      <c r="C540" s="103" t="s">
        <v>2</v>
      </c>
      <c r="D540" s="207">
        <v>510</v>
      </c>
      <c r="E540" s="49">
        <v>60</v>
      </c>
      <c r="F540" s="208">
        <f t="shared" si="25"/>
        <v>306</v>
      </c>
      <c r="G540" s="59"/>
      <c r="H540" s="442" t="s">
        <v>101</v>
      </c>
    </row>
    <row r="541" spans="1:8" s="47" customFormat="1" ht="15" customHeight="1" thickBot="1">
      <c r="A541" s="100"/>
      <c r="B541" s="275" t="s">
        <v>157</v>
      </c>
      <c r="C541" s="143" t="s">
        <v>2</v>
      </c>
      <c r="D541" s="204">
        <v>510</v>
      </c>
      <c r="E541" s="61">
        <v>100</v>
      </c>
      <c r="F541" s="255">
        <f t="shared" si="25"/>
        <v>510</v>
      </c>
      <c r="G541" s="55"/>
      <c r="H541" s="322" t="s">
        <v>98</v>
      </c>
    </row>
    <row r="542" spans="1:8" s="324" customFormat="1" ht="21" customHeight="1" thickBot="1">
      <c r="A542" s="476" t="s">
        <v>348</v>
      </c>
      <c r="B542" s="477"/>
      <c r="C542" s="477"/>
      <c r="D542" s="477"/>
      <c r="E542" s="477"/>
      <c r="F542" s="477"/>
      <c r="G542" s="477"/>
      <c r="H542" s="478"/>
    </row>
    <row r="543" spans="1:8" s="47" customFormat="1" ht="16.5" thickBot="1">
      <c r="A543" s="160" t="s">
        <v>0</v>
      </c>
      <c r="B543" s="251" t="s">
        <v>349</v>
      </c>
      <c r="C543" s="161"/>
      <c r="D543" s="325"/>
      <c r="E543" s="163"/>
      <c r="F543" s="163"/>
      <c r="G543" s="163"/>
      <c r="H543" s="164"/>
    </row>
    <row r="544" spans="1:8" s="47" customFormat="1" ht="15.75">
      <c r="A544" s="101"/>
      <c r="B544" s="129" t="s">
        <v>350</v>
      </c>
      <c r="C544" s="74" t="s">
        <v>2</v>
      </c>
      <c r="D544" s="419">
        <f>182.7+30</f>
        <v>212.7</v>
      </c>
      <c r="E544" s="44">
        <v>50</v>
      </c>
      <c r="F544" s="216">
        <f>ROUND((D544*E544%),0)</f>
        <v>106</v>
      </c>
      <c r="G544" s="44"/>
      <c r="H544" s="58" t="s">
        <v>50</v>
      </c>
    </row>
    <row r="545" spans="1:8" s="47" customFormat="1" ht="15.75">
      <c r="A545" s="101"/>
      <c r="B545" s="129" t="s">
        <v>409</v>
      </c>
      <c r="C545" s="74"/>
      <c r="D545" s="419">
        <f>182.7+30</f>
        <v>212.7</v>
      </c>
      <c r="E545" s="44">
        <v>80</v>
      </c>
      <c r="F545" s="216">
        <f>ROUND((D545*E545%),0)</f>
        <v>170</v>
      </c>
      <c r="G545" s="44"/>
      <c r="H545" s="58" t="s">
        <v>289</v>
      </c>
    </row>
    <row r="546" spans="1:8" s="329" customFormat="1" ht="31.5">
      <c r="A546" s="101"/>
      <c r="B546" s="129" t="s">
        <v>237</v>
      </c>
      <c r="C546" s="74" t="s">
        <v>2</v>
      </c>
      <c r="D546" s="174">
        <v>1692.8</v>
      </c>
      <c r="E546" s="173">
        <v>80</v>
      </c>
      <c r="F546" s="327">
        <f>ROUND((D546*E546%),0)</f>
        <v>1354</v>
      </c>
      <c r="G546" s="326"/>
      <c r="H546" s="328" t="s">
        <v>411</v>
      </c>
    </row>
    <row r="547" spans="1:8" s="47" customFormat="1" ht="16.5" thickBot="1">
      <c r="A547" s="101"/>
      <c r="B547" s="129" t="s">
        <v>172</v>
      </c>
      <c r="C547" s="74" t="s">
        <v>2</v>
      </c>
      <c r="D547" s="174">
        <v>1692.8</v>
      </c>
      <c r="E547" s="44">
        <v>90</v>
      </c>
      <c r="F547" s="216">
        <f>ROUND((D547*E547%),0)</f>
        <v>1524</v>
      </c>
      <c r="G547" s="44"/>
      <c r="H547" s="58" t="s">
        <v>145</v>
      </c>
    </row>
    <row r="548" spans="1:8" s="47" customFormat="1" ht="16.5" thickBot="1">
      <c r="A548" s="160" t="s">
        <v>3</v>
      </c>
      <c r="B548" s="251" t="s">
        <v>351</v>
      </c>
      <c r="C548" s="161"/>
      <c r="D548" s="325"/>
      <c r="E548" s="163"/>
      <c r="F548" s="163"/>
      <c r="G548" s="163"/>
      <c r="H548" s="164"/>
    </row>
    <row r="549" spans="1:8" s="47" customFormat="1" ht="15.75">
      <c r="A549" s="101"/>
      <c r="B549" s="129" t="s">
        <v>352</v>
      </c>
      <c r="C549" s="74" t="s">
        <v>2</v>
      </c>
      <c r="D549" s="203">
        <v>105</v>
      </c>
      <c r="E549" s="44">
        <v>70</v>
      </c>
      <c r="F549" s="216">
        <f>ROUND((D549*E549%),0)</f>
        <v>74</v>
      </c>
      <c r="G549" s="44"/>
      <c r="H549" s="58" t="s">
        <v>50</v>
      </c>
    </row>
    <row r="550" spans="1:8" s="329" customFormat="1" ht="31.5">
      <c r="A550" s="101"/>
      <c r="B550" s="129" t="s">
        <v>237</v>
      </c>
      <c r="C550" s="74" t="s">
        <v>2</v>
      </c>
      <c r="D550" s="203">
        <v>1377</v>
      </c>
      <c r="E550" s="173">
        <v>60</v>
      </c>
      <c r="F550" s="327">
        <f>ROUND((D550*E550%),0)</f>
        <v>826</v>
      </c>
      <c r="G550" s="326"/>
      <c r="H550" s="328" t="s">
        <v>410</v>
      </c>
    </row>
    <row r="551" spans="1:8" s="47" customFormat="1" ht="16.5" thickBot="1">
      <c r="A551" s="101"/>
      <c r="B551" s="291" t="s">
        <v>172</v>
      </c>
      <c r="C551" s="223" t="s">
        <v>2</v>
      </c>
      <c r="D551" s="224">
        <v>1377</v>
      </c>
      <c r="E551" s="225">
        <v>90</v>
      </c>
      <c r="F551" s="250">
        <f>ROUND((D551*E551%),0)</f>
        <v>1239</v>
      </c>
      <c r="G551" s="225"/>
      <c r="H551" s="238" t="s">
        <v>145</v>
      </c>
    </row>
    <row r="552" spans="1:8" s="191" customFormat="1" ht="16.5" thickBot="1">
      <c r="A552" s="338" t="s">
        <v>8</v>
      </c>
      <c r="B552" s="339" t="s">
        <v>364</v>
      </c>
      <c r="C552" s="369"/>
      <c r="D552" s="370"/>
      <c r="E552" s="371"/>
      <c r="F552" s="372"/>
      <c r="G552" s="371"/>
      <c r="H552" s="356"/>
    </row>
    <row r="553" spans="1:8" s="191" customFormat="1" ht="31.5">
      <c r="A553" s="345"/>
      <c r="B553" s="373" t="s">
        <v>376</v>
      </c>
      <c r="C553" s="374" t="s">
        <v>2</v>
      </c>
      <c r="D553" s="375">
        <f>1920+384</f>
        <v>2304</v>
      </c>
      <c r="E553" s="376">
        <v>80</v>
      </c>
      <c r="F553" s="375">
        <f>ROUND((D553*E553%),0)</f>
        <v>1843</v>
      </c>
      <c r="G553" s="377"/>
      <c r="H553" s="378" t="s">
        <v>370</v>
      </c>
    </row>
    <row r="554" spans="1:8" s="191" customFormat="1" ht="15.75">
      <c r="A554" s="345"/>
      <c r="B554" s="357" t="s">
        <v>365</v>
      </c>
      <c r="C554" s="187" t="s">
        <v>2</v>
      </c>
      <c r="D554" s="211">
        <v>384</v>
      </c>
      <c r="E554" s="188">
        <v>60</v>
      </c>
      <c r="F554" s="214">
        <f>ROUND((D554*E554%),0)</f>
        <v>230</v>
      </c>
      <c r="G554" s="188"/>
      <c r="H554" s="199" t="s">
        <v>50</v>
      </c>
    </row>
    <row r="555" spans="1:8" s="191" customFormat="1" ht="28.5" customHeight="1">
      <c r="A555" s="345"/>
      <c r="B555" s="361" t="s">
        <v>167</v>
      </c>
      <c r="C555" s="196" t="s">
        <v>73</v>
      </c>
      <c r="D555" s="379" t="s">
        <v>366</v>
      </c>
      <c r="E555" s="380">
        <v>100</v>
      </c>
      <c r="F555" s="379" t="str">
        <f>$D$555</f>
        <v>6/57,6</v>
      </c>
      <c r="G555" s="381"/>
      <c r="H555" s="485" t="s">
        <v>316</v>
      </c>
    </row>
    <row r="556" spans="1:8" s="191" customFormat="1" ht="19.5" customHeight="1">
      <c r="A556" s="345"/>
      <c r="B556" s="357" t="s">
        <v>166</v>
      </c>
      <c r="C556" s="187" t="s">
        <v>11</v>
      </c>
      <c r="D556" s="383">
        <v>1</v>
      </c>
      <c r="E556" s="197">
        <v>100</v>
      </c>
      <c r="F556" s="197">
        <v>1</v>
      </c>
      <c r="G556" s="381"/>
      <c r="H556" s="486"/>
    </row>
    <row r="557" spans="1:8" s="384" customFormat="1" ht="15.75">
      <c r="A557" s="345"/>
      <c r="B557" s="357" t="s">
        <v>383</v>
      </c>
      <c r="C557" s="187" t="s">
        <v>382</v>
      </c>
      <c r="D557" s="211">
        <v>384</v>
      </c>
      <c r="E557" s="188">
        <v>50</v>
      </c>
      <c r="F557" s="214">
        <f>ROUND((D557*E557%),0)</f>
        <v>192</v>
      </c>
      <c r="G557" s="188"/>
      <c r="H557" s="199" t="s">
        <v>51</v>
      </c>
    </row>
    <row r="558" spans="1:8" s="385" customFormat="1" ht="15.75">
      <c r="A558" s="345"/>
      <c r="B558" s="357" t="s">
        <v>422</v>
      </c>
      <c r="C558" s="193" t="s">
        <v>2</v>
      </c>
      <c r="D558" s="211">
        <v>384</v>
      </c>
      <c r="E558" s="188">
        <v>20</v>
      </c>
      <c r="F558" s="214">
        <f>D558*20%</f>
        <v>76.80000000000001</v>
      </c>
      <c r="G558" s="358"/>
      <c r="H558" s="190" t="s">
        <v>378</v>
      </c>
    </row>
    <row r="559" spans="1:8" s="191" customFormat="1" ht="15" customHeight="1">
      <c r="A559" s="185"/>
      <c r="B559" s="386" t="s">
        <v>292</v>
      </c>
      <c r="C559" s="187" t="s">
        <v>2</v>
      </c>
      <c r="D559" s="211">
        <v>1920</v>
      </c>
      <c r="E559" s="188">
        <v>10</v>
      </c>
      <c r="F559" s="214">
        <f>ROUND((D559*E559%),0)</f>
        <v>192</v>
      </c>
      <c r="G559" s="387"/>
      <c r="H559" s="190" t="s">
        <v>368</v>
      </c>
    </row>
    <row r="560" spans="1:8" s="191" customFormat="1" ht="15" customHeight="1">
      <c r="A560" s="345"/>
      <c r="B560" s="386" t="s">
        <v>292</v>
      </c>
      <c r="C560" s="187" t="s">
        <v>2</v>
      </c>
      <c r="D560" s="211">
        <v>1920</v>
      </c>
      <c r="E560" s="362">
        <v>60</v>
      </c>
      <c r="F560" s="214">
        <f>ROUND((D560*E560%),0)</f>
        <v>1152</v>
      </c>
      <c r="G560" s="391"/>
      <c r="H560" s="392" t="s">
        <v>367</v>
      </c>
    </row>
    <row r="561" spans="1:8" s="191" customFormat="1" ht="16.5" thickBot="1">
      <c r="A561" s="388"/>
      <c r="B561" s="389" t="s">
        <v>172</v>
      </c>
      <c r="C561" s="346" t="s">
        <v>2</v>
      </c>
      <c r="D561" s="390">
        <v>1920</v>
      </c>
      <c r="E561" s="348">
        <v>80</v>
      </c>
      <c r="F561" s="349">
        <f>ROUND((D561*E561%),0)</f>
        <v>1536</v>
      </c>
      <c r="G561" s="348"/>
      <c r="H561" s="350" t="s">
        <v>145</v>
      </c>
    </row>
    <row r="562" spans="1:8" s="191" customFormat="1" ht="16.5" thickBot="1">
      <c r="A562" s="353" t="s">
        <v>9</v>
      </c>
      <c r="B562" s="339" t="s">
        <v>369</v>
      </c>
      <c r="C562" s="340"/>
      <c r="D562" s="355"/>
      <c r="E562" s="342"/>
      <c r="F562" s="342"/>
      <c r="G562" s="342"/>
      <c r="H562" s="344"/>
    </row>
    <row r="563" spans="1:8" s="191" customFormat="1" ht="31.5">
      <c r="A563" s="393"/>
      <c r="B563" s="394" t="s">
        <v>372</v>
      </c>
      <c r="C563" s="351" t="s">
        <v>2</v>
      </c>
      <c r="D563" s="395">
        <f>112+3600</f>
        <v>3712</v>
      </c>
      <c r="E563" s="396">
        <v>70</v>
      </c>
      <c r="F563" s="397">
        <f>ROUND((D563*E563%),0)</f>
        <v>2598</v>
      </c>
      <c r="G563" s="352"/>
      <c r="H563" s="398" t="s">
        <v>370</v>
      </c>
    </row>
    <row r="564" spans="1:8" s="191" customFormat="1" ht="15.75">
      <c r="A564" s="185"/>
      <c r="B564" s="192" t="s">
        <v>292</v>
      </c>
      <c r="C564" s="193" t="s">
        <v>2</v>
      </c>
      <c r="D564" s="211">
        <v>3600</v>
      </c>
      <c r="E564" s="194">
        <v>60</v>
      </c>
      <c r="F564" s="214">
        <f>ROUND((D564*E564%),0)</f>
        <v>2160</v>
      </c>
      <c r="G564" s="399"/>
      <c r="H564" s="190" t="s">
        <v>367</v>
      </c>
    </row>
    <row r="565" spans="1:8" s="191" customFormat="1" ht="15.75">
      <c r="A565" s="185"/>
      <c r="B565" s="192" t="s">
        <v>292</v>
      </c>
      <c r="C565" s="193" t="s">
        <v>2</v>
      </c>
      <c r="D565" s="211">
        <v>3600</v>
      </c>
      <c r="E565" s="194">
        <v>10</v>
      </c>
      <c r="F565" s="214">
        <f>ROUND((D565*E565%),0)</f>
        <v>360</v>
      </c>
      <c r="G565" s="399"/>
      <c r="H565" s="190" t="s">
        <v>368</v>
      </c>
    </row>
    <row r="566" spans="1:8" s="191" customFormat="1" ht="16.5" thickBot="1">
      <c r="A566" s="388"/>
      <c r="B566" s="389" t="s">
        <v>172</v>
      </c>
      <c r="C566" s="346" t="s">
        <v>2</v>
      </c>
      <c r="D566" s="347">
        <v>3600</v>
      </c>
      <c r="E566" s="348">
        <v>90</v>
      </c>
      <c r="F566" s="349">
        <f>ROUND((D566*E566%),0)</f>
        <v>3240</v>
      </c>
      <c r="G566" s="348"/>
      <c r="H566" s="350" t="s">
        <v>145</v>
      </c>
    </row>
    <row r="567" spans="1:8" s="191" customFormat="1" ht="16.5" thickBot="1">
      <c r="A567" s="479" t="s">
        <v>353</v>
      </c>
      <c r="B567" s="480"/>
      <c r="C567" s="480"/>
      <c r="D567" s="480"/>
      <c r="E567" s="480"/>
      <c r="F567" s="480"/>
      <c r="G567" s="480"/>
      <c r="H567" s="481"/>
    </row>
    <row r="568" spans="1:8" s="191" customFormat="1" ht="16.5" thickBot="1">
      <c r="A568" s="353" t="s">
        <v>0</v>
      </c>
      <c r="B568" s="354" t="s">
        <v>386</v>
      </c>
      <c r="C568" s="340"/>
      <c r="D568" s="355"/>
      <c r="E568" s="342"/>
      <c r="F568" s="342"/>
      <c r="G568" s="342"/>
      <c r="H568" s="356"/>
    </row>
    <row r="569" spans="1:8" s="8" customFormat="1" ht="15.75">
      <c r="A569" s="91"/>
      <c r="B569" s="87" t="s">
        <v>60</v>
      </c>
      <c r="C569" s="43" t="s">
        <v>2</v>
      </c>
      <c r="D569" s="201">
        <v>8000</v>
      </c>
      <c r="E569" s="23">
        <v>60</v>
      </c>
      <c r="F569" s="32">
        <f>ROUND((D569*E569%),0)</f>
        <v>4800</v>
      </c>
      <c r="G569" s="41"/>
      <c r="H569" s="26" t="s">
        <v>50</v>
      </c>
    </row>
    <row r="570" spans="1:8" s="8" customFormat="1" ht="15.75">
      <c r="A570" s="97"/>
      <c r="B570" s="123" t="s">
        <v>283</v>
      </c>
      <c r="C570" s="43" t="s">
        <v>2</v>
      </c>
      <c r="D570" s="181">
        <v>84</v>
      </c>
      <c r="E570" s="12">
        <v>60</v>
      </c>
      <c r="F570" s="17">
        <f>ROUND((D570*E570%),0)</f>
        <v>50</v>
      </c>
      <c r="G570" s="23"/>
      <c r="H570" s="21" t="s">
        <v>50</v>
      </c>
    </row>
    <row r="571" spans="1:8" s="8" customFormat="1" ht="15.75">
      <c r="A571" s="97"/>
      <c r="B571" s="123" t="s">
        <v>412</v>
      </c>
      <c r="C571" s="43" t="s">
        <v>2</v>
      </c>
      <c r="D571" s="181">
        <v>44</v>
      </c>
      <c r="E571" s="12">
        <v>50</v>
      </c>
      <c r="F571" s="17">
        <f>ROUND((D571*E571%),0)</f>
        <v>22</v>
      </c>
      <c r="G571" s="23"/>
      <c r="H571" s="21" t="s">
        <v>50</v>
      </c>
    </row>
    <row r="572" spans="1:8" s="8" customFormat="1" ht="15.75">
      <c r="A572" s="91"/>
      <c r="B572" s="87" t="s">
        <v>393</v>
      </c>
      <c r="C572" s="43" t="s">
        <v>2</v>
      </c>
      <c r="D572" s="181">
        <v>84</v>
      </c>
      <c r="E572" s="12">
        <v>90</v>
      </c>
      <c r="F572" s="17">
        <f>ROUND((D572*E572%),0)</f>
        <v>76</v>
      </c>
      <c r="G572" s="23"/>
      <c r="H572" s="22" t="s">
        <v>52</v>
      </c>
    </row>
    <row r="573" spans="1:8" s="8" customFormat="1" ht="15.75">
      <c r="A573" s="91"/>
      <c r="B573" s="113" t="s">
        <v>165</v>
      </c>
      <c r="C573" s="39" t="s">
        <v>2</v>
      </c>
      <c r="D573" s="181">
        <v>84</v>
      </c>
      <c r="E573" s="12">
        <v>100</v>
      </c>
      <c r="F573" s="17">
        <f>ROUND((D573*E573%),0)</f>
        <v>84</v>
      </c>
      <c r="G573" s="12"/>
      <c r="H573" s="15" t="s">
        <v>51</v>
      </c>
    </row>
    <row r="574" spans="1:8" s="8" customFormat="1" ht="15.75">
      <c r="A574" s="97"/>
      <c r="B574" s="120" t="s">
        <v>166</v>
      </c>
      <c r="C574" s="39" t="s">
        <v>11</v>
      </c>
      <c r="D574" s="37">
        <v>1</v>
      </c>
      <c r="E574" s="12">
        <v>100</v>
      </c>
      <c r="F574" s="12">
        <v>1</v>
      </c>
      <c r="G574" s="12"/>
      <c r="H574" s="21" t="s">
        <v>50</v>
      </c>
    </row>
    <row r="575" spans="1:8" s="8" customFormat="1" ht="15.75">
      <c r="A575" s="97"/>
      <c r="B575" s="120" t="s">
        <v>172</v>
      </c>
      <c r="C575" s="39" t="s">
        <v>2</v>
      </c>
      <c r="D575" s="181">
        <v>8000</v>
      </c>
      <c r="E575" s="12">
        <v>90</v>
      </c>
      <c r="F575" s="17">
        <f>ROUND((D575*E575%),0)</f>
        <v>7200</v>
      </c>
      <c r="G575" s="12"/>
      <c r="H575" s="21" t="s">
        <v>145</v>
      </c>
    </row>
    <row r="576" spans="1:8" s="8" customFormat="1" ht="15" customHeight="1">
      <c r="A576" s="97"/>
      <c r="B576" s="400" t="s">
        <v>413</v>
      </c>
      <c r="C576" s="43"/>
      <c r="D576" s="201"/>
      <c r="E576" s="23"/>
      <c r="F576" s="32"/>
      <c r="G576" s="23"/>
      <c r="H576" s="26"/>
    </row>
    <row r="577" spans="1:8" s="8" customFormat="1" ht="15.75">
      <c r="A577" s="97"/>
      <c r="B577" s="123" t="s">
        <v>237</v>
      </c>
      <c r="C577" s="43" t="s">
        <v>2</v>
      </c>
      <c r="D577" s="201">
        <v>120</v>
      </c>
      <c r="E577" s="401">
        <v>80</v>
      </c>
      <c r="F577" s="402">
        <f>ROUND((D577*E577%),0)</f>
        <v>96</v>
      </c>
      <c r="G577" s="401"/>
      <c r="H577" s="403" t="s">
        <v>357</v>
      </c>
    </row>
    <row r="578" spans="1:8" s="8" customFormat="1" ht="16.5" thickBot="1">
      <c r="A578" s="92"/>
      <c r="B578" s="404" t="s">
        <v>172</v>
      </c>
      <c r="C578" s="405" t="s">
        <v>2</v>
      </c>
      <c r="D578" s="406">
        <v>120</v>
      </c>
      <c r="E578" s="407">
        <v>90</v>
      </c>
      <c r="F578" s="182">
        <f>ROUND((D578*E578%),0)</f>
        <v>108</v>
      </c>
      <c r="G578" s="407"/>
      <c r="H578" s="408" t="s">
        <v>145</v>
      </c>
    </row>
    <row r="579" spans="1:8" s="8" customFormat="1" ht="16.5" thickBot="1">
      <c r="A579" s="82" t="s">
        <v>3</v>
      </c>
      <c r="B579" s="412" t="s">
        <v>387</v>
      </c>
      <c r="C579" s="107"/>
      <c r="D579" s="149"/>
      <c r="E579" s="79"/>
      <c r="F579" s="79"/>
      <c r="G579" s="79"/>
      <c r="H579" s="80"/>
    </row>
    <row r="580" spans="1:8" s="191" customFormat="1" ht="15.75">
      <c r="A580" s="345"/>
      <c r="B580" s="373" t="s">
        <v>59</v>
      </c>
      <c r="C580" s="374" t="s">
        <v>2</v>
      </c>
      <c r="D580" s="375">
        <v>5600</v>
      </c>
      <c r="E580" s="377">
        <v>50</v>
      </c>
      <c r="F580" s="426">
        <f>ROUND((D580*E580%),0)</f>
        <v>2800</v>
      </c>
      <c r="G580" s="377"/>
      <c r="H580" s="427" t="s">
        <v>357</v>
      </c>
    </row>
    <row r="581" spans="1:8" s="191" customFormat="1" ht="15.75">
      <c r="A581" s="345"/>
      <c r="B581" s="357" t="s">
        <v>172</v>
      </c>
      <c r="C581" s="187" t="s">
        <v>2</v>
      </c>
      <c r="D581" s="211">
        <v>5600</v>
      </c>
      <c r="E581" s="188">
        <v>70</v>
      </c>
      <c r="F581" s="214">
        <f>ROUND((D581*E581%),0)</f>
        <v>3920</v>
      </c>
      <c r="G581" s="188"/>
      <c r="H581" s="199" t="s">
        <v>145</v>
      </c>
    </row>
    <row r="582" spans="1:8" s="8" customFormat="1" ht="16.5" thickBot="1">
      <c r="A582" s="97"/>
      <c r="B582" s="411" t="s">
        <v>388</v>
      </c>
      <c r="C582" s="43" t="s">
        <v>2</v>
      </c>
      <c r="D582" s="201">
        <v>2500</v>
      </c>
      <c r="E582" s="23">
        <v>90</v>
      </c>
      <c r="F582" s="32">
        <f>ROUND((D582*E582%),0)</f>
        <v>2250</v>
      </c>
      <c r="G582" s="23"/>
      <c r="H582" s="26" t="s">
        <v>145</v>
      </c>
    </row>
    <row r="583" spans="1:8" s="8" customFormat="1" ht="16.5" thickBot="1">
      <c r="A583" s="432" t="s">
        <v>8</v>
      </c>
      <c r="B583" s="157" t="s">
        <v>389</v>
      </c>
      <c r="C583" s="107"/>
      <c r="D583" s="413"/>
      <c r="E583" s="79"/>
      <c r="F583" s="79"/>
      <c r="G583" s="79"/>
      <c r="H583" s="80"/>
    </row>
    <row r="584" spans="1:8" s="8" customFormat="1" ht="15.75">
      <c r="A584" s="409"/>
      <c r="B584" s="116" t="s">
        <v>60</v>
      </c>
      <c r="C584" s="43" t="s">
        <v>2</v>
      </c>
      <c r="D584" s="209">
        <v>4320</v>
      </c>
      <c r="E584" s="23">
        <v>60</v>
      </c>
      <c r="F584" s="32">
        <f>ROUND((D584*E584%),0)</f>
        <v>2592</v>
      </c>
      <c r="G584" s="41"/>
      <c r="H584" s="26" t="s">
        <v>50</v>
      </c>
    </row>
    <row r="585" spans="1:8" s="8" customFormat="1" ht="16.5" thickBot="1">
      <c r="A585" s="410"/>
      <c r="B585" s="115" t="s">
        <v>172</v>
      </c>
      <c r="C585" s="39" t="s">
        <v>2</v>
      </c>
      <c r="D585" s="181">
        <v>4320</v>
      </c>
      <c r="E585" s="12">
        <v>90</v>
      </c>
      <c r="F585" s="17">
        <f>ROUND((D585*E585%),0)</f>
        <v>3888</v>
      </c>
      <c r="G585" s="12"/>
      <c r="H585" s="21" t="s">
        <v>145</v>
      </c>
    </row>
    <row r="586" spans="1:8" s="8" customFormat="1" ht="16.5" thickBot="1">
      <c r="A586" s="82" t="s">
        <v>9</v>
      </c>
      <c r="B586" s="412" t="s">
        <v>390</v>
      </c>
      <c r="C586" s="107"/>
      <c r="D586" s="413"/>
      <c r="E586" s="79"/>
      <c r="F586" s="79"/>
      <c r="G586" s="79"/>
      <c r="H586" s="80"/>
    </row>
    <row r="587" spans="1:8" s="8" customFormat="1" ht="15.75">
      <c r="A587" s="97"/>
      <c r="B587" s="123" t="s">
        <v>60</v>
      </c>
      <c r="C587" s="43" t="s">
        <v>2</v>
      </c>
      <c r="D587" s="209">
        <v>3280</v>
      </c>
      <c r="E587" s="23">
        <v>60</v>
      </c>
      <c r="F587" s="32">
        <f>ROUND((D587*E587%),0)</f>
        <v>1968</v>
      </c>
      <c r="G587" s="41"/>
      <c r="H587" s="26" t="s">
        <v>50</v>
      </c>
    </row>
    <row r="588" spans="1:8" s="8" customFormat="1" ht="16.5" thickBot="1">
      <c r="A588" s="97"/>
      <c r="B588" s="120" t="s">
        <v>172</v>
      </c>
      <c r="C588" s="39" t="s">
        <v>2</v>
      </c>
      <c r="D588" s="181">
        <v>3280</v>
      </c>
      <c r="E588" s="12">
        <v>90</v>
      </c>
      <c r="F588" s="17">
        <f>ROUND((D588*E588%),0)</f>
        <v>2952</v>
      </c>
      <c r="G588" s="12"/>
      <c r="H588" s="21" t="s">
        <v>145</v>
      </c>
    </row>
    <row r="589" spans="1:8" s="8" customFormat="1" ht="16.5" thickBot="1">
      <c r="A589" s="82" t="s">
        <v>10</v>
      </c>
      <c r="B589" s="412" t="s">
        <v>391</v>
      </c>
      <c r="C589" s="107"/>
      <c r="D589" s="413"/>
      <c r="E589" s="79"/>
      <c r="F589" s="79"/>
      <c r="G589" s="79"/>
      <c r="H589" s="80"/>
    </row>
    <row r="590" spans="1:8" s="191" customFormat="1" ht="15.75">
      <c r="A590" s="345"/>
      <c r="B590" s="433" t="s">
        <v>60</v>
      </c>
      <c r="C590" s="193" t="s">
        <v>2</v>
      </c>
      <c r="D590" s="209">
        <v>1640</v>
      </c>
      <c r="E590" s="194">
        <v>60</v>
      </c>
      <c r="F590" s="423">
        <f>ROUND((D590*E590%),0)</f>
        <v>984</v>
      </c>
      <c r="G590" s="399"/>
      <c r="H590" s="417" t="s">
        <v>50</v>
      </c>
    </row>
    <row r="591" spans="1:8" s="191" customFormat="1" ht="16.5" thickBot="1">
      <c r="A591" s="345"/>
      <c r="B591" s="357" t="s">
        <v>172</v>
      </c>
      <c r="C591" s="187" t="s">
        <v>2</v>
      </c>
      <c r="D591" s="211">
        <v>1640</v>
      </c>
      <c r="E591" s="188">
        <v>90</v>
      </c>
      <c r="F591" s="214">
        <f>ROUND((D591*E591%),0)</f>
        <v>1476</v>
      </c>
      <c r="G591" s="188"/>
      <c r="H591" s="199" t="s">
        <v>145</v>
      </c>
    </row>
    <row r="592" spans="1:8" s="8" customFormat="1" ht="16.5" thickBot="1">
      <c r="A592" s="82" t="s">
        <v>12</v>
      </c>
      <c r="B592" s="412" t="s">
        <v>392</v>
      </c>
      <c r="C592" s="107"/>
      <c r="D592" s="413"/>
      <c r="E592" s="79"/>
      <c r="F592" s="79"/>
      <c r="G592" s="79"/>
      <c r="H592" s="80"/>
    </row>
    <row r="593" spans="1:8" s="191" customFormat="1" ht="15.75">
      <c r="A593" s="345"/>
      <c r="B593" s="433" t="s">
        <v>60</v>
      </c>
      <c r="C593" s="193" t="s">
        <v>2</v>
      </c>
      <c r="D593" s="209">
        <v>3360</v>
      </c>
      <c r="E593" s="194">
        <v>60</v>
      </c>
      <c r="F593" s="423">
        <f>ROUND((D593*E593%),0)</f>
        <v>2016</v>
      </c>
      <c r="G593" s="399"/>
      <c r="H593" s="417" t="s">
        <v>50</v>
      </c>
    </row>
    <row r="594" spans="1:8" s="191" customFormat="1" ht="16.5" thickBot="1">
      <c r="A594" s="185"/>
      <c r="B594" s="361" t="s">
        <v>172</v>
      </c>
      <c r="C594" s="196" t="s">
        <v>2</v>
      </c>
      <c r="D594" s="212">
        <v>3360</v>
      </c>
      <c r="E594" s="362">
        <v>90</v>
      </c>
      <c r="F594" s="363">
        <f>ROUND((D594*E594%),0)</f>
        <v>3024</v>
      </c>
      <c r="G594" s="362"/>
      <c r="H594" s="382" t="s">
        <v>145</v>
      </c>
    </row>
    <row r="595" spans="1:8" s="8" customFormat="1" ht="16.5" thickBot="1">
      <c r="A595" s="82" t="s">
        <v>13</v>
      </c>
      <c r="B595" s="434" t="s">
        <v>414</v>
      </c>
      <c r="C595" s="107"/>
      <c r="D595" s="413"/>
      <c r="E595" s="79"/>
      <c r="F595" s="79"/>
      <c r="G595" s="79"/>
      <c r="H595" s="435"/>
    </row>
    <row r="596" spans="1:8" s="8" customFormat="1" ht="15.75">
      <c r="A596" s="91"/>
      <c r="B596" s="123" t="s">
        <v>415</v>
      </c>
      <c r="C596" s="43" t="s">
        <v>1</v>
      </c>
      <c r="D596" s="201">
        <v>4000</v>
      </c>
      <c r="E596" s="23"/>
      <c r="F596" s="32"/>
      <c r="G596" s="31"/>
      <c r="H596" s="26"/>
    </row>
    <row r="597" spans="1:8" s="8" customFormat="1" ht="15.75">
      <c r="A597" s="97"/>
      <c r="B597" s="120" t="s">
        <v>60</v>
      </c>
      <c r="C597" s="39" t="s">
        <v>2</v>
      </c>
      <c r="D597" s="181">
        <v>18500</v>
      </c>
      <c r="E597" s="12">
        <v>60</v>
      </c>
      <c r="F597" s="17">
        <f>ROUND((D597*E597%),0)</f>
        <v>11100</v>
      </c>
      <c r="G597" s="14"/>
      <c r="H597" s="21" t="s">
        <v>357</v>
      </c>
    </row>
    <row r="598" spans="1:8" s="8" customFormat="1" ht="16.5" thickBot="1">
      <c r="A598" s="91"/>
      <c r="B598" s="180" t="s">
        <v>172</v>
      </c>
      <c r="C598" s="140" t="s">
        <v>2</v>
      </c>
      <c r="D598" s="183">
        <v>18500</v>
      </c>
      <c r="E598" s="19">
        <v>90</v>
      </c>
      <c r="F598" s="184">
        <f>ROUND((D598*E598%),0)</f>
        <v>16650</v>
      </c>
      <c r="G598" s="19"/>
      <c r="H598" s="24" t="s">
        <v>416</v>
      </c>
    </row>
    <row r="599" spans="1:8" s="191" customFormat="1" ht="16.5" thickBot="1">
      <c r="A599" s="338" t="s">
        <v>14</v>
      </c>
      <c r="B599" s="339" t="s">
        <v>354</v>
      </c>
      <c r="C599" s="340"/>
      <c r="D599" s="355"/>
      <c r="E599" s="342"/>
      <c r="F599" s="342"/>
      <c r="G599" s="342"/>
      <c r="H599" s="356"/>
    </row>
    <row r="600" spans="1:8" s="191" customFormat="1" ht="15.75">
      <c r="A600" s="345"/>
      <c r="B600" s="433" t="s">
        <v>237</v>
      </c>
      <c r="C600" s="193" t="s">
        <v>2</v>
      </c>
      <c r="D600" s="209">
        <v>13500</v>
      </c>
      <c r="E600" s="436">
        <v>50</v>
      </c>
      <c r="F600" s="437">
        <f>ROUND((D600*E600%),0)</f>
        <v>6750</v>
      </c>
      <c r="G600" s="436"/>
      <c r="H600" s="438" t="s">
        <v>357</v>
      </c>
    </row>
    <row r="601" spans="1:8" s="191" customFormat="1" ht="16.5" thickBot="1">
      <c r="A601" s="388"/>
      <c r="B601" s="389" t="s">
        <v>172</v>
      </c>
      <c r="C601" s="346" t="s">
        <v>2</v>
      </c>
      <c r="D601" s="347">
        <v>13500</v>
      </c>
      <c r="E601" s="348">
        <v>80</v>
      </c>
      <c r="F601" s="349">
        <f>ROUND((D601*E601%),0)</f>
        <v>10800</v>
      </c>
      <c r="G601" s="348"/>
      <c r="H601" s="350" t="s">
        <v>145</v>
      </c>
    </row>
    <row r="602" spans="1:8" s="191" customFormat="1" ht="16.5" thickBot="1">
      <c r="A602" s="482" t="s">
        <v>355</v>
      </c>
      <c r="B602" s="483"/>
      <c r="C602" s="483"/>
      <c r="D602" s="483"/>
      <c r="E602" s="483"/>
      <c r="F602" s="483"/>
      <c r="G602" s="483"/>
      <c r="H602" s="484"/>
    </row>
    <row r="603" spans="1:8" s="191" customFormat="1" ht="16.5" thickBot="1">
      <c r="A603" s="353" t="s">
        <v>0</v>
      </c>
      <c r="B603" s="354" t="s">
        <v>356</v>
      </c>
      <c r="C603" s="340"/>
      <c r="D603" s="355"/>
      <c r="E603" s="342"/>
      <c r="F603" s="342"/>
      <c r="G603" s="342"/>
      <c r="H603" s="356"/>
    </row>
    <row r="604" spans="1:8" s="191" customFormat="1" ht="15.75">
      <c r="A604" s="345"/>
      <c r="B604" s="120" t="s">
        <v>352</v>
      </c>
      <c r="C604" s="187" t="s">
        <v>2</v>
      </c>
      <c r="D604" s="211">
        <v>842</v>
      </c>
      <c r="E604" s="188">
        <v>70</v>
      </c>
      <c r="F604" s="214">
        <f>ROUND((D604*E604%),0)</f>
        <v>589</v>
      </c>
      <c r="G604" s="188"/>
      <c r="H604" s="199" t="s">
        <v>417</v>
      </c>
    </row>
    <row r="605" spans="1:8" s="191" customFormat="1" ht="15.75">
      <c r="A605" s="345"/>
      <c r="B605" s="357" t="s">
        <v>237</v>
      </c>
      <c r="C605" s="187" t="s">
        <v>2</v>
      </c>
      <c r="D605" s="211">
        <v>1146</v>
      </c>
      <c r="E605" s="358">
        <v>60</v>
      </c>
      <c r="F605" s="359">
        <f>ROUND((D605*E605%),0)</f>
        <v>688</v>
      </c>
      <c r="G605" s="358"/>
      <c r="H605" s="360" t="s">
        <v>417</v>
      </c>
    </row>
    <row r="606" spans="1:8" s="191" customFormat="1" ht="15" customHeight="1" thickBot="1">
      <c r="A606" s="345"/>
      <c r="B606" s="361" t="s">
        <v>172</v>
      </c>
      <c r="C606" s="196" t="s">
        <v>2</v>
      </c>
      <c r="D606" s="212">
        <v>1146</v>
      </c>
      <c r="E606" s="362">
        <v>80</v>
      </c>
      <c r="F606" s="363">
        <f>ROUND((D606*E606%),0)</f>
        <v>917</v>
      </c>
      <c r="G606" s="362"/>
      <c r="H606" s="364" t="s">
        <v>145</v>
      </c>
    </row>
    <row r="607" spans="1:8" s="191" customFormat="1" ht="15" customHeight="1" thickBot="1">
      <c r="A607" s="353" t="s">
        <v>3</v>
      </c>
      <c r="B607" s="339" t="s">
        <v>371</v>
      </c>
      <c r="C607" s="340"/>
      <c r="D607" s="341"/>
      <c r="E607" s="342"/>
      <c r="F607" s="343"/>
      <c r="G607" s="342"/>
      <c r="H607" s="344"/>
    </row>
    <row r="608" spans="1:8" s="191" customFormat="1" ht="31.5">
      <c r="A608" s="185"/>
      <c r="B608" s="414" t="s">
        <v>373</v>
      </c>
      <c r="C608" s="193" t="s">
        <v>2</v>
      </c>
      <c r="D608" s="209">
        <f>768+132+231</f>
        <v>1131</v>
      </c>
      <c r="E608" s="415">
        <v>70</v>
      </c>
      <c r="F608" s="416">
        <f>ROUND((D608*E608%),0)</f>
        <v>792</v>
      </c>
      <c r="G608" s="194"/>
      <c r="H608" s="417" t="s">
        <v>50</v>
      </c>
    </row>
    <row r="609" spans="1:8" s="191" customFormat="1" ht="15.75">
      <c r="A609" s="345"/>
      <c r="B609" s="357" t="s">
        <v>365</v>
      </c>
      <c r="C609" s="187" t="s">
        <v>2</v>
      </c>
      <c r="D609" s="211">
        <v>198</v>
      </c>
      <c r="E609" s="188">
        <v>80</v>
      </c>
      <c r="F609" s="214">
        <f>ROUND((D609*E609%),0)</f>
        <v>158</v>
      </c>
      <c r="G609" s="188"/>
      <c r="H609" s="199" t="s">
        <v>50</v>
      </c>
    </row>
    <row r="610" spans="1:8" s="384" customFormat="1" ht="15.75">
      <c r="A610" s="345"/>
      <c r="B610" s="357" t="s">
        <v>384</v>
      </c>
      <c r="C610" s="187" t="s">
        <v>2</v>
      </c>
      <c r="D610" s="211">
        <v>132</v>
      </c>
      <c r="E610" s="188">
        <v>50</v>
      </c>
      <c r="F610" s="214">
        <f>ROUND((D610*E610%),0)</f>
        <v>66</v>
      </c>
      <c r="G610" s="188"/>
      <c r="H610" s="190" t="s">
        <v>378</v>
      </c>
    </row>
    <row r="611" spans="1:8" s="385" customFormat="1" ht="15.75">
      <c r="A611" s="345"/>
      <c r="B611" s="357" t="s">
        <v>418</v>
      </c>
      <c r="C611" s="193" t="s">
        <v>2</v>
      </c>
      <c r="D611" s="211">
        <v>132</v>
      </c>
      <c r="E611" s="188">
        <v>20</v>
      </c>
      <c r="F611" s="418">
        <f>D611*20%</f>
        <v>26.400000000000002</v>
      </c>
      <c r="G611" s="358"/>
      <c r="H611" s="190" t="s">
        <v>378</v>
      </c>
    </row>
    <row r="612" spans="1:8" s="191" customFormat="1" ht="15.75">
      <c r="A612" s="185"/>
      <c r="B612" s="192" t="s">
        <v>292</v>
      </c>
      <c r="C612" s="193" t="s">
        <v>2</v>
      </c>
      <c r="D612" s="211">
        <v>3600</v>
      </c>
      <c r="E612" s="194">
        <v>50</v>
      </c>
      <c r="F612" s="214">
        <f>ROUND((D612*E612%),0)</f>
        <v>1800</v>
      </c>
      <c r="G612" s="399"/>
      <c r="H612" s="190" t="s">
        <v>421</v>
      </c>
    </row>
    <row r="613" spans="1:8" s="191" customFormat="1" ht="15.75">
      <c r="A613" s="185"/>
      <c r="B613" s="192" t="s">
        <v>292</v>
      </c>
      <c r="C613" s="193" t="s">
        <v>2</v>
      </c>
      <c r="D613" s="211">
        <v>3600</v>
      </c>
      <c r="E613" s="194">
        <v>10</v>
      </c>
      <c r="F613" s="214">
        <f>ROUND((D613*E613%),0)</f>
        <v>360</v>
      </c>
      <c r="G613" s="399"/>
      <c r="H613" s="190" t="s">
        <v>420</v>
      </c>
    </row>
    <row r="614" spans="1:8" s="191" customFormat="1" ht="16.5" thickBot="1">
      <c r="A614" s="388"/>
      <c r="B614" s="389" t="s">
        <v>172</v>
      </c>
      <c r="C614" s="346" t="s">
        <v>2</v>
      </c>
      <c r="D614" s="347">
        <v>3600</v>
      </c>
      <c r="E614" s="348">
        <v>80</v>
      </c>
      <c r="F614" s="349">
        <f>ROUND((D614*E614%),0)</f>
        <v>2880</v>
      </c>
      <c r="G614" s="348"/>
      <c r="H614" s="350" t="s">
        <v>145</v>
      </c>
    </row>
    <row r="615" spans="1:8" s="191" customFormat="1" ht="15" customHeight="1" thickBot="1">
      <c r="A615" s="353" t="s">
        <v>8</v>
      </c>
      <c r="B615" s="339" t="s">
        <v>374</v>
      </c>
      <c r="C615" s="340"/>
      <c r="D615" s="341"/>
      <c r="E615" s="342"/>
      <c r="F615" s="343"/>
      <c r="G615" s="342"/>
      <c r="H615" s="344"/>
    </row>
    <row r="616" spans="1:8" s="191" customFormat="1" ht="31.5">
      <c r="A616" s="185"/>
      <c r="B616" s="414" t="s">
        <v>375</v>
      </c>
      <c r="C616" s="193" t="s">
        <v>2</v>
      </c>
      <c r="D616" s="209">
        <f>500+1692</f>
        <v>2192</v>
      </c>
      <c r="E616" s="415">
        <v>70</v>
      </c>
      <c r="F616" s="397">
        <f>ROUND((D616*E616%),0)</f>
        <v>1534</v>
      </c>
      <c r="G616" s="194"/>
      <c r="H616" s="417" t="s">
        <v>370</v>
      </c>
    </row>
    <row r="617" spans="1:8" s="191" customFormat="1" ht="15.75">
      <c r="A617" s="345"/>
      <c r="B617" s="357" t="s">
        <v>156</v>
      </c>
      <c r="C617" s="187" t="s">
        <v>2</v>
      </c>
      <c r="D617" s="211">
        <v>500</v>
      </c>
      <c r="E617" s="188">
        <v>50</v>
      </c>
      <c r="F617" s="214">
        <f>ROUND((D617*E617%),0)</f>
        <v>250</v>
      </c>
      <c r="G617" s="188"/>
      <c r="H617" s="199" t="s">
        <v>50</v>
      </c>
    </row>
    <row r="618" spans="1:8" s="384" customFormat="1" ht="15.75">
      <c r="A618" s="345"/>
      <c r="B618" s="357" t="s">
        <v>377</v>
      </c>
      <c r="C618" s="187" t="s">
        <v>2</v>
      </c>
      <c r="D618" s="211">
        <v>500</v>
      </c>
      <c r="E618" s="188">
        <v>30</v>
      </c>
      <c r="F618" s="214">
        <f>ROUND((D618*E618%),0)</f>
        <v>150</v>
      </c>
      <c r="G618" s="188"/>
      <c r="H618" s="190" t="s">
        <v>378</v>
      </c>
    </row>
    <row r="619" spans="1:8" s="385" customFormat="1" ht="15.75">
      <c r="A619" s="345"/>
      <c r="B619" s="357" t="s">
        <v>151</v>
      </c>
      <c r="C619" s="193" t="s">
        <v>2</v>
      </c>
      <c r="D619" s="211">
        <v>500</v>
      </c>
      <c r="E619" s="188">
        <v>20</v>
      </c>
      <c r="F619" s="418">
        <f>D619*20%</f>
        <v>100</v>
      </c>
      <c r="G619" s="358"/>
      <c r="H619" s="190" t="s">
        <v>378</v>
      </c>
    </row>
    <row r="620" spans="1:8" s="191" customFormat="1" ht="15.75">
      <c r="A620" s="185"/>
      <c r="B620" s="192" t="s">
        <v>292</v>
      </c>
      <c r="C620" s="193" t="s">
        <v>2</v>
      </c>
      <c r="D620" s="211">
        <v>1692</v>
      </c>
      <c r="E620" s="194">
        <v>60</v>
      </c>
      <c r="F620" s="214">
        <f>ROUND((D620*E620%),0)</f>
        <v>1015</v>
      </c>
      <c r="G620" s="399"/>
      <c r="H620" s="190" t="s">
        <v>421</v>
      </c>
    </row>
    <row r="621" spans="1:8" s="191" customFormat="1" ht="15.75">
      <c r="A621" s="185"/>
      <c r="B621" s="192" t="s">
        <v>292</v>
      </c>
      <c r="C621" s="193" t="s">
        <v>2</v>
      </c>
      <c r="D621" s="211">
        <v>1692</v>
      </c>
      <c r="E621" s="194">
        <v>10</v>
      </c>
      <c r="F621" s="214">
        <f>ROUND((D621*E621%),0)</f>
        <v>169</v>
      </c>
      <c r="G621" s="399"/>
      <c r="H621" s="190" t="s">
        <v>420</v>
      </c>
    </row>
    <row r="622" spans="1:8" s="191" customFormat="1" ht="16.5" thickBot="1">
      <c r="A622" s="388"/>
      <c r="B622" s="389" t="s">
        <v>172</v>
      </c>
      <c r="C622" s="346" t="s">
        <v>2</v>
      </c>
      <c r="D622" s="347">
        <v>1692</v>
      </c>
      <c r="E622" s="348">
        <v>90</v>
      </c>
      <c r="F622" s="349">
        <f>ROUND((D622*E622%),0)</f>
        <v>1523</v>
      </c>
      <c r="G622" s="348"/>
      <c r="H622" s="350" t="s">
        <v>145</v>
      </c>
    </row>
    <row r="623" spans="1:8" s="47" customFormat="1" ht="16.5" thickBot="1">
      <c r="A623" s="476" t="s">
        <v>358</v>
      </c>
      <c r="B623" s="477"/>
      <c r="C623" s="477"/>
      <c r="D623" s="477"/>
      <c r="E623" s="477"/>
      <c r="F623" s="477"/>
      <c r="G623" s="477"/>
      <c r="H623" s="478"/>
    </row>
    <row r="624" spans="1:8" s="47" customFormat="1" ht="19.5" customHeight="1" thickBot="1">
      <c r="A624" s="160" t="s">
        <v>0</v>
      </c>
      <c r="B624" s="251" t="s">
        <v>359</v>
      </c>
      <c r="C624" s="161"/>
      <c r="D624" s="325"/>
      <c r="E624" s="163"/>
      <c r="F624" s="163"/>
      <c r="G624" s="163"/>
      <c r="H624" s="164"/>
    </row>
    <row r="625" spans="1:8" s="329" customFormat="1" ht="17.25" customHeight="1">
      <c r="A625" s="105"/>
      <c r="B625" s="428" t="s">
        <v>237</v>
      </c>
      <c r="C625" s="106" t="s">
        <v>2</v>
      </c>
      <c r="D625" s="206">
        <v>180</v>
      </c>
      <c r="E625" s="429">
        <v>80</v>
      </c>
      <c r="F625" s="430">
        <f>ROUND((D625*E625%),0)</f>
        <v>144</v>
      </c>
      <c r="G625" s="429"/>
      <c r="H625" s="431" t="s">
        <v>417</v>
      </c>
    </row>
    <row r="626" spans="1:8" s="47" customFormat="1" ht="18" customHeight="1">
      <c r="A626" s="101"/>
      <c r="B626" s="129" t="s">
        <v>350</v>
      </c>
      <c r="C626" s="74" t="s">
        <v>2</v>
      </c>
      <c r="D626" s="174">
        <v>40.32</v>
      </c>
      <c r="E626" s="44">
        <v>60</v>
      </c>
      <c r="F626" s="216">
        <f>ROUND((D626*E626%),0)</f>
        <v>24</v>
      </c>
      <c r="G626" s="44"/>
      <c r="H626" s="328" t="s">
        <v>50</v>
      </c>
    </row>
    <row r="627" spans="1:8" s="47" customFormat="1" ht="15.75" customHeight="1" thickBot="1">
      <c r="A627" s="262"/>
      <c r="B627" s="130" t="s">
        <v>172</v>
      </c>
      <c r="C627" s="102" t="s">
        <v>2</v>
      </c>
      <c r="D627" s="205">
        <v>941</v>
      </c>
      <c r="E627" s="61">
        <v>70</v>
      </c>
      <c r="F627" s="255">
        <f>ROUND((D627*E627%),0)</f>
        <v>659</v>
      </c>
      <c r="G627" s="61"/>
      <c r="H627" s="63" t="s">
        <v>145</v>
      </c>
    </row>
    <row r="628" spans="1:8" s="191" customFormat="1" ht="15" customHeight="1" thickBot="1">
      <c r="A628" s="353" t="s">
        <v>3</v>
      </c>
      <c r="B628" s="339" t="s">
        <v>371</v>
      </c>
      <c r="C628" s="340"/>
      <c r="D628" s="341"/>
      <c r="E628" s="342"/>
      <c r="F628" s="343"/>
      <c r="G628" s="342"/>
      <c r="H628" s="344"/>
    </row>
    <row r="629" spans="1:8" s="191" customFormat="1" ht="31.5">
      <c r="A629" s="185"/>
      <c r="B629" s="414" t="s">
        <v>373</v>
      </c>
      <c r="C629" s="193" t="s">
        <v>2</v>
      </c>
      <c r="D629" s="209">
        <v>658</v>
      </c>
      <c r="E629" s="415">
        <v>70</v>
      </c>
      <c r="F629" s="416">
        <f aca="true" t="shared" si="26" ref="F629:F634">ROUND((D629*E629%),0)</f>
        <v>461</v>
      </c>
      <c r="G629" s="194"/>
      <c r="H629" s="417" t="s">
        <v>417</v>
      </c>
    </row>
    <row r="630" spans="1:8" s="191" customFormat="1" ht="15.75">
      <c r="A630" s="345"/>
      <c r="B630" s="357" t="s">
        <v>365</v>
      </c>
      <c r="C630" s="187" t="s">
        <v>2</v>
      </c>
      <c r="D630" s="211">
        <v>200</v>
      </c>
      <c r="E630" s="188">
        <v>60</v>
      </c>
      <c r="F630" s="214">
        <f t="shared" si="26"/>
        <v>120</v>
      </c>
      <c r="G630" s="188"/>
      <c r="H630" s="360" t="s">
        <v>50</v>
      </c>
    </row>
    <row r="631" spans="1:8" s="384" customFormat="1" ht="15.75">
      <c r="A631" s="345"/>
      <c r="B631" s="357" t="s">
        <v>384</v>
      </c>
      <c r="C631" s="187" t="s">
        <v>2</v>
      </c>
      <c r="D631" s="211">
        <v>200</v>
      </c>
      <c r="E631" s="188">
        <v>50</v>
      </c>
      <c r="F631" s="214">
        <f t="shared" si="26"/>
        <v>100</v>
      </c>
      <c r="G631" s="188"/>
      <c r="H631" s="190" t="s">
        <v>378</v>
      </c>
    </row>
    <row r="632" spans="1:8" s="191" customFormat="1" ht="15.75">
      <c r="A632" s="185"/>
      <c r="B632" s="192" t="s">
        <v>292</v>
      </c>
      <c r="C632" s="193" t="s">
        <v>2</v>
      </c>
      <c r="D632" s="211">
        <v>458</v>
      </c>
      <c r="E632" s="194">
        <v>60</v>
      </c>
      <c r="F632" s="214">
        <f t="shared" si="26"/>
        <v>275</v>
      </c>
      <c r="G632" s="399"/>
      <c r="H632" s="190" t="s">
        <v>419</v>
      </c>
    </row>
    <row r="633" spans="1:8" s="191" customFormat="1" ht="15.75">
      <c r="A633" s="185"/>
      <c r="B633" s="192" t="s">
        <v>292</v>
      </c>
      <c r="C633" s="193" t="s">
        <v>2</v>
      </c>
      <c r="D633" s="211">
        <v>458</v>
      </c>
      <c r="E633" s="194">
        <v>10</v>
      </c>
      <c r="F633" s="214">
        <f t="shared" si="26"/>
        <v>46</v>
      </c>
      <c r="G633" s="399"/>
      <c r="H633" s="190" t="s">
        <v>420</v>
      </c>
    </row>
    <row r="634" spans="1:8" s="191" customFormat="1" ht="16.5" thickBot="1">
      <c r="A634" s="388"/>
      <c r="B634" s="389" t="s">
        <v>172</v>
      </c>
      <c r="C634" s="346" t="s">
        <v>2</v>
      </c>
      <c r="D634" s="347">
        <v>458</v>
      </c>
      <c r="E634" s="348">
        <v>90</v>
      </c>
      <c r="F634" s="349">
        <f t="shared" si="26"/>
        <v>412</v>
      </c>
      <c r="G634" s="348"/>
      <c r="H634" s="350" t="s">
        <v>145</v>
      </c>
    </row>
    <row r="635" spans="1:4" s="323" customFormat="1" ht="13.5" customHeight="1">
      <c r="A635" s="330"/>
      <c r="B635" s="331"/>
      <c r="C635" s="330"/>
      <c r="D635" s="332"/>
    </row>
    <row r="636" spans="1:4" s="323" customFormat="1" ht="12.75">
      <c r="A636" s="330"/>
      <c r="B636" s="331"/>
      <c r="C636" s="330"/>
      <c r="D636" s="332"/>
    </row>
    <row r="637" spans="1:4" s="27" customFormat="1" ht="15.75">
      <c r="A637" s="333"/>
      <c r="B637" s="334" t="s">
        <v>37</v>
      </c>
      <c r="C637" s="335"/>
      <c r="D637" s="336"/>
    </row>
    <row r="638" spans="1:8" s="27" customFormat="1" ht="30" customHeight="1">
      <c r="A638" s="335"/>
      <c r="B638" s="488" t="s">
        <v>360</v>
      </c>
      <c r="C638" s="489"/>
      <c r="D638" s="489"/>
      <c r="E638" s="489"/>
      <c r="F638" s="489"/>
      <c r="G638" s="489"/>
      <c r="H638" s="489"/>
    </row>
    <row r="639" spans="1:8" s="27" customFormat="1" ht="38.25" customHeight="1">
      <c r="A639" s="335"/>
      <c r="B639" s="491" t="s">
        <v>425</v>
      </c>
      <c r="C639" s="492"/>
      <c r="D639" s="492"/>
      <c r="E639" s="492"/>
      <c r="F639" s="492"/>
      <c r="G639" s="492"/>
      <c r="H639" s="492"/>
    </row>
    <row r="640" spans="1:8" s="27" customFormat="1" ht="15.75">
      <c r="A640" s="335"/>
      <c r="B640" s="488" t="s">
        <v>361</v>
      </c>
      <c r="C640" s="489"/>
      <c r="D640" s="489"/>
      <c r="E640" s="489"/>
      <c r="F640" s="489"/>
      <c r="G640" s="489"/>
      <c r="H640" s="489"/>
    </row>
    <row r="641" spans="1:8" s="27" customFormat="1" ht="15.75">
      <c r="A641" s="335"/>
      <c r="B641" s="489"/>
      <c r="C641" s="489"/>
      <c r="D641" s="489"/>
      <c r="E641" s="489"/>
      <c r="F641" s="489"/>
      <c r="G641" s="489"/>
      <c r="H641" s="489"/>
    </row>
    <row r="642" spans="1:4" s="323" customFormat="1" ht="12.75">
      <c r="A642" s="330"/>
      <c r="B642" s="331"/>
      <c r="C642" s="330"/>
      <c r="D642" s="332"/>
    </row>
    <row r="643" spans="1:4" s="323" customFormat="1" ht="12.75">
      <c r="A643" s="330"/>
      <c r="B643" s="331"/>
      <c r="C643" s="330"/>
      <c r="D643" s="332"/>
    </row>
    <row r="644" spans="1:8" s="323" customFormat="1" ht="15.75">
      <c r="A644" s="330"/>
      <c r="B644" s="488" t="s">
        <v>426</v>
      </c>
      <c r="C644" s="488"/>
      <c r="D644" s="488"/>
      <c r="E644" s="488"/>
      <c r="F644" s="488"/>
      <c r="G644" s="488"/>
      <c r="H644" s="488"/>
    </row>
    <row r="645" spans="1:4" s="323" customFormat="1" ht="12.75">
      <c r="A645" s="330"/>
      <c r="B645" s="331"/>
      <c r="C645" s="330"/>
      <c r="D645" s="332"/>
    </row>
    <row r="646" spans="1:4" s="323" customFormat="1" ht="12.75">
      <c r="A646" s="330"/>
      <c r="B646" s="331"/>
      <c r="C646" s="330"/>
      <c r="D646" s="332"/>
    </row>
    <row r="647" spans="1:4" s="323" customFormat="1" ht="12.75">
      <c r="A647" s="330"/>
      <c r="B647" s="337" t="s">
        <v>323</v>
      </c>
      <c r="C647" s="330"/>
      <c r="D647" s="332"/>
    </row>
    <row r="648" spans="1:4" s="323" customFormat="1" ht="12.75">
      <c r="A648" s="330"/>
      <c r="B648" s="337" t="s">
        <v>322</v>
      </c>
      <c r="C648" s="330"/>
      <c r="D648" s="332"/>
    </row>
    <row r="649" spans="1:4" s="3" customFormat="1" ht="12.75">
      <c r="A649" s="108"/>
      <c r="B649" s="137"/>
      <c r="C649" s="108"/>
      <c r="D649" s="151"/>
    </row>
  </sheetData>
  <sheetProtection/>
  <autoFilter ref="A12:H541"/>
  <mergeCells count="50">
    <mergeCell ref="A623:H623"/>
    <mergeCell ref="B640:H641"/>
    <mergeCell ref="B638:H638"/>
    <mergeCell ref="B644:H644"/>
    <mergeCell ref="H502:H504"/>
    <mergeCell ref="H509:H512"/>
    <mergeCell ref="H516:H517"/>
    <mergeCell ref="B639:H639"/>
    <mergeCell ref="H484:H486"/>
    <mergeCell ref="A542:H542"/>
    <mergeCell ref="A567:H567"/>
    <mergeCell ref="A602:H602"/>
    <mergeCell ref="H433:H434"/>
    <mergeCell ref="H451:H452"/>
    <mergeCell ref="H555:H556"/>
    <mergeCell ref="H481:H483"/>
    <mergeCell ref="D344:E344"/>
    <mergeCell ref="D348:E348"/>
    <mergeCell ref="H371:H372"/>
    <mergeCell ref="H383:H384"/>
    <mergeCell ref="H397:H398"/>
    <mergeCell ref="H415:H416"/>
    <mergeCell ref="D224:E224"/>
    <mergeCell ref="D196:E196"/>
    <mergeCell ref="H201:H202"/>
    <mergeCell ref="D214:E214"/>
    <mergeCell ref="H469:H470"/>
    <mergeCell ref="H487:H488"/>
    <mergeCell ref="D311:E311"/>
    <mergeCell ref="D319:E319"/>
    <mergeCell ref="D332:E332"/>
    <mergeCell ref="D340:E340"/>
    <mergeCell ref="D179:E179"/>
    <mergeCell ref="A7:H7"/>
    <mergeCell ref="H26:H27"/>
    <mergeCell ref="H162:H163"/>
    <mergeCell ref="H125:H126"/>
    <mergeCell ref="H103:H104"/>
    <mergeCell ref="H52:H53"/>
    <mergeCell ref="H83:H84"/>
    <mergeCell ref="H327:H328"/>
    <mergeCell ref="A6:H6"/>
    <mergeCell ref="A8:H8"/>
    <mergeCell ref="A10:A11"/>
    <mergeCell ref="B10:B11"/>
    <mergeCell ref="C10:C11"/>
    <mergeCell ref="D10:D11"/>
    <mergeCell ref="E10:F10"/>
    <mergeCell ref="G10:G11"/>
    <mergeCell ref="H10:H11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3"/>
  <rowBreaks count="12" manualBreakCount="12">
    <brk id="95" max="7" man="1"/>
    <brk id="127" max="7" man="1"/>
    <brk id="257" max="7" man="1"/>
    <brk id="290" max="7" man="1"/>
    <brk id="387" max="7" man="1"/>
    <brk id="416" max="7" man="1"/>
    <brk id="448" max="7" man="1"/>
    <brk id="478" max="7" man="1"/>
    <brk id="538" max="7" man="1"/>
    <brk id="566" max="7" man="1"/>
    <brk id="598" max="7" man="1"/>
    <brk id="62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2024-03-12T06:44:01Z</cp:lastPrinted>
  <dcterms:created xsi:type="dcterms:W3CDTF">2004-10-19T12:32:26Z</dcterms:created>
  <dcterms:modified xsi:type="dcterms:W3CDTF">2024-03-14T14:41:37Z</dcterms:modified>
  <cp:category/>
  <cp:version/>
  <cp:contentType/>
  <cp:contentStatus/>
</cp:coreProperties>
</file>